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 Sywula\Desktop\Przetarg Energia 2025-2028\"/>
    </mc:Choice>
  </mc:AlternateContent>
  <xr:revisionPtr revIDLastSave="0" documentId="13_ncr:1_{98801F2E-3431-46AC-87A9-84C6C63B35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Arkusz1!$A$3:$X$61</definedName>
    <definedName name="_xlnm.Print_Area" localSheetId="0">Arkusz1!$A$1:$X$67</definedName>
    <definedName name="_xlnm.Print_Titles" localSheetId="0">Arkusz1!$1:$3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" l="1"/>
  <c r="L64" i="1"/>
  <c r="K64" i="1"/>
  <c r="L63" i="1"/>
  <c r="K63" i="1"/>
  <c r="N67" i="1"/>
  <c r="I67" i="1"/>
  <c r="K5" i="1"/>
  <c r="K4" i="1"/>
  <c r="L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L49" i="1"/>
  <c r="K49" i="1"/>
  <c r="M48" i="1"/>
  <c r="L48" i="1"/>
  <c r="K48" i="1"/>
  <c r="M47" i="1"/>
  <c r="L47" i="1"/>
  <c r="K47" i="1"/>
  <c r="L46" i="1"/>
  <c r="K46" i="1"/>
  <c r="M46" i="1"/>
  <c r="M45" i="1"/>
  <c r="L45" i="1"/>
  <c r="K45" i="1"/>
  <c r="M44" i="1"/>
  <c r="L44" i="1"/>
  <c r="K44" i="1"/>
  <c r="M43" i="1"/>
  <c r="L43" i="1"/>
  <c r="K43" i="1"/>
  <c r="L42" i="1"/>
  <c r="M42" i="1"/>
  <c r="K42" i="1"/>
  <c r="L41" i="1"/>
  <c r="M41" i="1"/>
  <c r="K41" i="1"/>
  <c r="L40" i="1"/>
  <c r="M40" i="1"/>
  <c r="K40" i="1"/>
  <c r="L39" i="1"/>
  <c r="M39" i="1"/>
  <c r="K39" i="1"/>
  <c r="M38" i="1"/>
  <c r="L38" i="1"/>
  <c r="K38" i="1"/>
  <c r="M37" i="1"/>
  <c r="L37" i="1"/>
  <c r="K37" i="1"/>
  <c r="M36" i="1"/>
  <c r="L36" i="1"/>
  <c r="K36" i="1"/>
  <c r="M35" i="1"/>
  <c r="L35" i="1"/>
  <c r="K35" i="1"/>
  <c r="M34" i="1"/>
  <c r="L34" i="1"/>
  <c r="K34" i="1"/>
  <c r="M33" i="1"/>
  <c r="L33" i="1"/>
  <c r="K33" i="1"/>
  <c r="M32" i="1"/>
  <c r="L32" i="1"/>
  <c r="K32" i="1"/>
  <c r="M31" i="1"/>
  <c r="L31" i="1"/>
  <c r="K31" i="1"/>
  <c r="M30" i="1"/>
  <c r="L30" i="1"/>
  <c r="K30" i="1"/>
  <c r="M29" i="1"/>
  <c r="L29" i="1"/>
  <c r="K29" i="1"/>
  <c r="M28" i="1"/>
  <c r="L28" i="1"/>
  <c r="K28" i="1"/>
  <c r="M27" i="1"/>
  <c r="L27" i="1"/>
  <c r="K27" i="1"/>
  <c r="M26" i="1"/>
  <c r="L26" i="1"/>
  <c r="K26" i="1"/>
  <c r="M25" i="1"/>
  <c r="L25" i="1"/>
  <c r="K25" i="1"/>
  <c r="L24" i="1"/>
  <c r="M24" i="1"/>
  <c r="K24" i="1"/>
  <c r="L23" i="1"/>
  <c r="M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1" i="1"/>
  <c r="L11" i="1"/>
  <c r="K11" i="1"/>
  <c r="M10" i="1"/>
  <c r="L10" i="1"/>
  <c r="K10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M4" i="1"/>
  <c r="L4" i="1"/>
  <c r="M13" i="1"/>
  <c r="L13" i="1"/>
  <c r="K13" i="1"/>
  <c r="M12" i="1"/>
  <c r="L12" i="1"/>
  <c r="K12" i="1"/>
  <c r="M67" i="1" l="1"/>
  <c r="K67" i="1"/>
  <c r="L67" i="1"/>
</calcChain>
</file>

<file path=xl/sharedStrings.xml><?xml version="1.0" encoding="utf-8"?>
<sst xmlns="http://schemas.openxmlformats.org/spreadsheetml/2006/main" count="982" uniqueCount="240">
  <si>
    <t>Cieciorka</t>
  </si>
  <si>
    <t xml:space="preserve"> </t>
  </si>
  <si>
    <t>83-260</t>
  </si>
  <si>
    <t>Kaliska</t>
  </si>
  <si>
    <t>C12a</t>
  </si>
  <si>
    <t>Gmina Kaliska</t>
  </si>
  <si>
    <t>ul. Nowowiejska 2, 83-260 Kaliska</t>
  </si>
  <si>
    <t>ENERGA-Operator S.A.</t>
  </si>
  <si>
    <t>ENERGA-Obrót S.A.</t>
  </si>
  <si>
    <t>kolejna</t>
  </si>
  <si>
    <t>Chata Kociewska</t>
  </si>
  <si>
    <t>Piece</t>
  </si>
  <si>
    <t>6 Marca</t>
  </si>
  <si>
    <t>83-261</t>
  </si>
  <si>
    <t>C11</t>
  </si>
  <si>
    <t>Remiza OSP</t>
  </si>
  <si>
    <t>Szkolna</t>
  </si>
  <si>
    <t>Boisko</t>
  </si>
  <si>
    <t>Długa</t>
  </si>
  <si>
    <t>Przepompownia ścieków PS-9</t>
  </si>
  <si>
    <t>Frank</t>
  </si>
  <si>
    <t>Przepompownia ścieków PS-10</t>
  </si>
  <si>
    <t>Świetlica wiejska</t>
  </si>
  <si>
    <t>Iwiczno</t>
  </si>
  <si>
    <t>Gulgowskiego</t>
  </si>
  <si>
    <t>Słoneczna</t>
  </si>
  <si>
    <t>Nowowiejska</t>
  </si>
  <si>
    <t>Dom pogrzebowy</t>
  </si>
  <si>
    <t>Sportowa</t>
  </si>
  <si>
    <t>Fontanna</t>
  </si>
  <si>
    <t>Przepompownia ścieków PS-2</t>
  </si>
  <si>
    <t>Boczna</t>
  </si>
  <si>
    <t>Przepompownia ścieków PS-6</t>
  </si>
  <si>
    <t>Przepompownia ścieków PS-7</t>
  </si>
  <si>
    <t>Południowa</t>
  </si>
  <si>
    <t>Przepompownia ścieków PS-8</t>
  </si>
  <si>
    <t xml:space="preserve">Frank   </t>
  </si>
  <si>
    <t>dz.1</t>
  </si>
  <si>
    <t>Przepompownia ścieków PS-4</t>
  </si>
  <si>
    <t>Kolejowa</t>
  </si>
  <si>
    <t>Dąbrowa</t>
  </si>
  <si>
    <t>Przepompownia ścieków PS-1</t>
  </si>
  <si>
    <t>Przepompownia ścieków PS-5</t>
  </si>
  <si>
    <t>83/6</t>
  </si>
  <si>
    <t>Studzienice</t>
  </si>
  <si>
    <t>Bartel Wielki</t>
  </si>
  <si>
    <t>Przepompownia ścieków PS-14</t>
  </si>
  <si>
    <t>dz.60/1</t>
  </si>
  <si>
    <t>Przepompownia ścieków PS-15</t>
  </si>
  <si>
    <t>dz.110/1</t>
  </si>
  <si>
    <t>Przepompownia ścieków PS-16</t>
  </si>
  <si>
    <t>dz.98/9</t>
  </si>
  <si>
    <t>Przepompownia ścieków PS-17</t>
  </si>
  <si>
    <t>dz.141/1</t>
  </si>
  <si>
    <t>Przepompownia ścieków PS-13</t>
  </si>
  <si>
    <t>Osiedlowa</t>
  </si>
  <si>
    <t>dz.53/27</t>
  </si>
  <si>
    <t>Przepompownia ścieków PS-18</t>
  </si>
  <si>
    <t xml:space="preserve">Wczasowa </t>
  </si>
  <si>
    <t>dz.328</t>
  </si>
  <si>
    <t>Punkt selektywnego zbierania odpadów komunalnych</t>
  </si>
  <si>
    <t>Przemysłowa</t>
  </si>
  <si>
    <t>-</t>
  </si>
  <si>
    <t>Przepompownia ścieków PS-11</t>
  </si>
  <si>
    <t>dz. 220/9</t>
  </si>
  <si>
    <t>Przepompownia ścieków PS-12</t>
  </si>
  <si>
    <t>dz. 283/8</t>
  </si>
  <si>
    <t>Przepompownia ścieków PS-19</t>
  </si>
  <si>
    <t>dz. 341</t>
  </si>
  <si>
    <t>Przepompownia ścieków PS-20</t>
  </si>
  <si>
    <t>dz. 287</t>
  </si>
  <si>
    <t>Budynek socjalny 4A</t>
  </si>
  <si>
    <t>Przedszkolna</t>
  </si>
  <si>
    <t>4A</t>
  </si>
  <si>
    <t>Budynek socjalny 4B</t>
  </si>
  <si>
    <t>4B</t>
  </si>
  <si>
    <t>Plac zabaw Frank</t>
  </si>
  <si>
    <t xml:space="preserve">Wspólna </t>
  </si>
  <si>
    <t>dz. 39/13</t>
  </si>
  <si>
    <t>Oświetlenie drogowe</t>
  </si>
  <si>
    <t>Leśna Huta</t>
  </si>
  <si>
    <t>C12w</t>
  </si>
  <si>
    <t>Młyńsk</t>
  </si>
  <si>
    <t>dz.438</t>
  </si>
  <si>
    <t>Strych</t>
  </si>
  <si>
    <t>dz.26</t>
  </si>
  <si>
    <t>dz.385/2</t>
  </si>
  <si>
    <t>dz.344/6</t>
  </si>
  <si>
    <t>Gminny Ośrodek Kultury</t>
  </si>
  <si>
    <t>Gminny Ośrodek Kultury w Kaliskach</t>
  </si>
  <si>
    <t>ul. Długa 18, 83-260 Kaliska</t>
  </si>
  <si>
    <t>Szkoła</t>
  </si>
  <si>
    <t>Kościelna</t>
  </si>
  <si>
    <t>Zespół Szkół Publicznych w Kaliskach</t>
  </si>
  <si>
    <t>ul. Długa 53, 83-260 Kaliska</t>
  </si>
  <si>
    <t>Zespół Szkół Publicznych</t>
  </si>
  <si>
    <t>C22a</t>
  </si>
  <si>
    <t>Jagodowa</t>
  </si>
  <si>
    <t>Główna</t>
  </si>
  <si>
    <t>Czarne</t>
  </si>
  <si>
    <t>11b</t>
  </si>
  <si>
    <t>Urząd Gminy</t>
  </si>
  <si>
    <t>Świetlico-szatnia</t>
  </si>
  <si>
    <t>dz.338</t>
  </si>
  <si>
    <t>Przedszkole</t>
  </si>
  <si>
    <t>Oczyszczalnia ścieków</t>
  </si>
  <si>
    <t xml:space="preserve">Przemysłowa </t>
  </si>
  <si>
    <t>B23</t>
  </si>
  <si>
    <t>Oświetlenie drogowe Bartel Wielki</t>
  </si>
  <si>
    <t>dz.15, 273/4</t>
  </si>
  <si>
    <t>Oświetlenie drogowe Dunajki</t>
  </si>
  <si>
    <t>Dunajki</t>
  </si>
  <si>
    <t>Świetlica OSP Iwiczno</t>
  </si>
  <si>
    <t>Mieszkanie Ośrodek zdrowia</t>
  </si>
  <si>
    <t>5A/4</t>
  </si>
  <si>
    <t>Dz.230/6,
232, 250/41,
250/52</t>
  </si>
  <si>
    <t>Przedsiębiorstwo Usług Komunalnych Kaliska Sp. z o.o.</t>
  </si>
  <si>
    <t>5922283090</t>
  </si>
  <si>
    <t>Nazwa</t>
  </si>
  <si>
    <t>Miejscowość</t>
  </si>
  <si>
    <t>Ulica</t>
  </si>
  <si>
    <t>Numer</t>
  </si>
  <si>
    <t>Kod</t>
  </si>
  <si>
    <t>Poczta</t>
  </si>
  <si>
    <t>Numer PPE</t>
  </si>
  <si>
    <t>Moc umowna</t>
  </si>
  <si>
    <t>Grupa taryfowa</t>
  </si>
  <si>
    <t>Nabywca</t>
  </si>
  <si>
    <t>Adres</t>
  </si>
  <si>
    <t>NIP</t>
  </si>
  <si>
    <t>Odbiorca</t>
  </si>
  <si>
    <t>OSD</t>
  </si>
  <si>
    <t>Dotychczasowy sprzedawca</t>
  </si>
  <si>
    <t>Nazwa punktu poboru</t>
  </si>
  <si>
    <t>590243834014342271</t>
  </si>
  <si>
    <t>590243834014244230</t>
  </si>
  <si>
    <t>590243834013663506</t>
  </si>
  <si>
    <t>590243834014345593</t>
  </si>
  <si>
    <t>590243834014327278</t>
  </si>
  <si>
    <t>590243834013663513</t>
  </si>
  <si>
    <t>590243834013645267</t>
  </si>
  <si>
    <t>590243834014186691</t>
  </si>
  <si>
    <t>590243834014145889</t>
  </si>
  <si>
    <t>590243834014174230</t>
  </si>
  <si>
    <t>590243834014174247</t>
  </si>
  <si>
    <t>590243834014204425</t>
  </si>
  <si>
    <t>590243834014042140</t>
  </si>
  <si>
    <t>590243834014204418</t>
  </si>
  <si>
    <t>590243834014064357</t>
  </si>
  <si>
    <t>590243834013980382</t>
  </si>
  <si>
    <t>590243834013815547</t>
  </si>
  <si>
    <t>590243834014064364</t>
  </si>
  <si>
    <t>590243834014413308</t>
  </si>
  <si>
    <t>590243834014171840</t>
  </si>
  <si>
    <t>590243834014174223</t>
  </si>
  <si>
    <t>590243834013681289</t>
  </si>
  <si>
    <t>590243834014338045</t>
  </si>
  <si>
    <t>590243834013631093</t>
  </si>
  <si>
    <t>590243834014185977</t>
  </si>
  <si>
    <t>590243834013782023</t>
  </si>
  <si>
    <t>590243834013712112</t>
  </si>
  <si>
    <t>590243834040211602</t>
  </si>
  <si>
    <t>590243834040476155</t>
  </si>
  <si>
    <t>590243834040476131</t>
  </si>
  <si>
    <t>590243834040347233</t>
  </si>
  <si>
    <t>590243834040347769</t>
  </si>
  <si>
    <t>590243834040509624</t>
  </si>
  <si>
    <t>590243834040528175</t>
  </si>
  <si>
    <t>590243834040527871</t>
  </si>
  <si>
    <t>590243834040776774</t>
  </si>
  <si>
    <t>590243834040413907</t>
  </si>
  <si>
    <t>590243834040498898</t>
  </si>
  <si>
    <t>590243834041533901</t>
  </si>
  <si>
    <t>590243834041533888</t>
  </si>
  <si>
    <t>590243834013684624</t>
  </si>
  <si>
    <t>590243834013631109</t>
  </si>
  <si>
    <t>590243834041239575</t>
  </si>
  <si>
    <t>590243834014389139</t>
  </si>
  <si>
    <t>590243834014399244</t>
  </si>
  <si>
    <t>590243834014399275</t>
  </si>
  <si>
    <t>590243834014391996</t>
  </si>
  <si>
    <t>590243834014408816</t>
  </si>
  <si>
    <t>590243834014360817</t>
  </si>
  <si>
    <t>590243834040356488</t>
  </si>
  <si>
    <t>590243834040095707</t>
  </si>
  <si>
    <t>590243834014343421</t>
  </si>
  <si>
    <t>Klub seniora</t>
  </si>
  <si>
    <t>590243834013704711</t>
  </si>
  <si>
    <t>590243834013631673</t>
  </si>
  <si>
    <t>590243834013978785</t>
  </si>
  <si>
    <t>590243834014154119</t>
  </si>
  <si>
    <t>590243834013887094</t>
  </si>
  <si>
    <t>Termin rozpoczęcia usługi</t>
  </si>
  <si>
    <t>termin zakończenia usługi</t>
  </si>
  <si>
    <t>Lp.</t>
  </si>
  <si>
    <t>7a</t>
  </si>
  <si>
    <t>Wiklinowa</t>
  </si>
  <si>
    <t xml:space="preserve">Kociewska </t>
  </si>
  <si>
    <t>dz. 113/3</t>
  </si>
  <si>
    <t>Różana</t>
  </si>
  <si>
    <t>dz.1/1</t>
  </si>
  <si>
    <t>dz. 350/1</t>
  </si>
  <si>
    <t>Działkowa</t>
  </si>
  <si>
    <t xml:space="preserve">Osiedlowa </t>
  </si>
  <si>
    <t>Kasztanowa</t>
  </si>
  <si>
    <t>Jarzębinowa</t>
  </si>
  <si>
    <t>33 na dz. 210/4</t>
  </si>
  <si>
    <t>6 Marca 1938 r.</t>
  </si>
  <si>
    <t>dz. 147/7</t>
  </si>
  <si>
    <t>590243834040452029</t>
  </si>
  <si>
    <t>Zestawienie punktów poboru energii elektrycznej Kaliska: Gmina, GOK i PUK Kaliska Sp. z o.o.</t>
  </si>
  <si>
    <t>5921202623</t>
  </si>
  <si>
    <t>590243834013786076</t>
  </si>
  <si>
    <t>590243834043672455</t>
  </si>
  <si>
    <t>590243834043487080</t>
  </si>
  <si>
    <t>12, Dz. 257</t>
  </si>
  <si>
    <t>Budynek komunalny</t>
  </si>
  <si>
    <t>CHE Kaliska</t>
  </si>
  <si>
    <t>Dz. 266/18</t>
  </si>
  <si>
    <t>Szacunkowe roczne zużycie MWh
energii elektrycznej [MWh]</t>
  </si>
  <si>
    <t xml:space="preserve"> SW Cieciorka</t>
  </si>
  <si>
    <t xml:space="preserve"> SW Kaliska</t>
  </si>
  <si>
    <r>
      <t xml:space="preserve"> </t>
    </r>
    <r>
      <rPr>
        <sz val="8"/>
        <color theme="1"/>
        <rFont val="Calibri"/>
        <family val="2"/>
        <charset val="238"/>
        <scheme val="minor"/>
      </rPr>
      <t>SW Piece</t>
    </r>
  </si>
  <si>
    <r>
      <t>dz.</t>
    </r>
    <r>
      <rPr>
        <i/>
        <sz val="6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72/13</t>
    </r>
  </si>
  <si>
    <r>
      <t>dz.</t>
    </r>
    <r>
      <rPr>
        <i/>
        <sz val="6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336/1</t>
    </r>
  </si>
  <si>
    <r>
      <rPr>
        <i/>
        <sz val="6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SW Studzienice</t>
    </r>
  </si>
  <si>
    <t>Strefa I</t>
  </si>
  <si>
    <t>Strefa II</t>
  </si>
  <si>
    <t>Strefa III</t>
  </si>
  <si>
    <t>Razem</t>
  </si>
  <si>
    <t>Dąborwa</t>
  </si>
  <si>
    <t>B.D</t>
  </si>
  <si>
    <t xml:space="preserve">GOPS </t>
  </si>
  <si>
    <t>590243834044256555</t>
  </si>
  <si>
    <t>Gminny Ośrodek Pomocy Społecznej</t>
  </si>
  <si>
    <t xml:space="preserve">kolejna </t>
  </si>
  <si>
    <t>Żłobek</t>
  </si>
  <si>
    <t>266/18</t>
  </si>
  <si>
    <t>Wschodnia</t>
  </si>
  <si>
    <t>45 na dz. 298/2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</si>
</sst>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 &quot;MWh&quot;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6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9" fontId="3" fillId="0" borderId="0" xfId="0" applyNumberFormat="1" applyFont="1"/>
    <xf numFmtId="2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1" fillId="0" borderId="1" xfId="0" applyNumberFormat="1" applyFont="1" applyBorder="1"/>
    <xf numFmtId="2" fontId="8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99"/>
      <color rgb="FFCC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7"/>
  <sheetViews>
    <sheetView tabSelected="1" view="pageBreakPreview" zoomScaleNormal="100" zoomScaleSheetLayoutView="100" workbookViewId="0">
      <selection activeCell="G8" sqref="G8"/>
    </sheetView>
  </sheetViews>
  <sheetFormatPr defaultColWidth="9.140625" defaultRowHeight="15" x14ac:dyDescent="0.25"/>
  <cols>
    <col min="1" max="1" width="4.7109375" style="1" customWidth="1"/>
    <col min="2" max="2" width="17" style="2" customWidth="1"/>
    <col min="3" max="4" width="9.140625" style="1"/>
    <col min="5" max="5" width="8.85546875" style="3"/>
    <col min="6" max="7" width="9.140625" style="1"/>
    <col min="8" max="8" width="16.5703125" style="4" customWidth="1"/>
    <col min="9" max="9" width="6.7109375" style="5" customWidth="1"/>
    <col min="10" max="11" width="6.140625" style="5" customWidth="1"/>
    <col min="12" max="12" width="6.7109375" style="5" customWidth="1"/>
    <col min="13" max="13" width="7.7109375" style="5" customWidth="1"/>
    <col min="14" max="14" width="12.140625" style="5" customWidth="1"/>
    <col min="15" max="15" width="13.7109375" style="6" customWidth="1"/>
    <col min="16" max="16" width="11.5703125" style="6" customWidth="1"/>
    <col min="17" max="17" width="9.7109375" style="6" customWidth="1"/>
    <col min="18" max="18" width="12.85546875" style="6" customWidth="1"/>
    <col min="19" max="19" width="11.28515625" style="6" customWidth="1"/>
    <col min="20" max="20" width="10" style="6" customWidth="1"/>
    <col min="21" max="21" width="14.28515625" style="6" customWidth="1"/>
    <col min="22" max="22" width="10" style="6" customWidth="1"/>
    <col min="23" max="16384" width="9.140625" style="1"/>
  </cols>
  <sheetData>
    <row r="1" spans="1:24" x14ac:dyDescent="0.25">
      <c r="A1" s="39" t="s">
        <v>210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7"/>
      <c r="U1" s="7"/>
      <c r="V1" s="7"/>
      <c r="W1"/>
      <c r="X1"/>
    </row>
    <row r="2" spans="1:24" ht="29.25" customHeight="1" x14ac:dyDescent="0.25">
      <c r="A2" s="40" t="s">
        <v>194</v>
      </c>
      <c r="B2" s="30" t="s">
        <v>133</v>
      </c>
      <c r="C2" s="32" t="s">
        <v>128</v>
      </c>
      <c r="D2" s="33"/>
      <c r="E2" s="33"/>
      <c r="F2" s="33"/>
      <c r="G2" s="34"/>
      <c r="H2" s="42" t="s">
        <v>124</v>
      </c>
      <c r="I2" s="28" t="s">
        <v>125</v>
      </c>
      <c r="J2" s="28" t="s">
        <v>126</v>
      </c>
      <c r="K2" s="44" t="s">
        <v>219</v>
      </c>
      <c r="L2" s="44"/>
      <c r="M2" s="44"/>
      <c r="N2" s="44"/>
      <c r="O2" s="36" t="s">
        <v>127</v>
      </c>
      <c r="P2" s="37"/>
      <c r="Q2" s="38"/>
      <c r="R2" s="36" t="s">
        <v>130</v>
      </c>
      <c r="S2" s="38"/>
      <c r="T2" s="28" t="s">
        <v>131</v>
      </c>
      <c r="U2" s="28" t="s">
        <v>132</v>
      </c>
      <c r="V2" s="28"/>
      <c r="W2" s="30" t="s">
        <v>192</v>
      </c>
      <c r="X2" s="35" t="s">
        <v>193</v>
      </c>
    </row>
    <row r="3" spans="1:24" x14ac:dyDescent="0.25">
      <c r="A3" s="41"/>
      <c r="B3" s="31"/>
      <c r="C3" s="8" t="s">
        <v>119</v>
      </c>
      <c r="D3" s="8" t="s">
        <v>120</v>
      </c>
      <c r="E3" s="8" t="s">
        <v>121</v>
      </c>
      <c r="F3" s="8" t="s">
        <v>122</v>
      </c>
      <c r="G3" s="8" t="s">
        <v>123</v>
      </c>
      <c r="H3" s="43"/>
      <c r="I3" s="29"/>
      <c r="J3" s="29"/>
      <c r="K3" s="9" t="s">
        <v>226</v>
      </c>
      <c r="L3" s="9" t="s">
        <v>227</v>
      </c>
      <c r="M3" s="9" t="s">
        <v>228</v>
      </c>
      <c r="N3" s="9" t="s">
        <v>229</v>
      </c>
      <c r="O3" s="9" t="s">
        <v>118</v>
      </c>
      <c r="P3" s="9" t="s">
        <v>128</v>
      </c>
      <c r="Q3" s="9" t="s">
        <v>129</v>
      </c>
      <c r="R3" s="9" t="s">
        <v>118</v>
      </c>
      <c r="S3" s="9" t="s">
        <v>128</v>
      </c>
      <c r="T3" s="29"/>
      <c r="U3" s="29"/>
      <c r="V3" s="29"/>
      <c r="W3" s="31"/>
      <c r="X3" s="35"/>
    </row>
    <row r="4" spans="1:24" ht="45" x14ac:dyDescent="0.25">
      <c r="A4" s="18">
        <v>1</v>
      </c>
      <c r="B4" s="19" t="s">
        <v>105</v>
      </c>
      <c r="C4" s="18" t="s">
        <v>3</v>
      </c>
      <c r="D4" s="18" t="s">
        <v>106</v>
      </c>
      <c r="E4" s="8">
        <v>46</v>
      </c>
      <c r="F4" s="18" t="s">
        <v>2</v>
      </c>
      <c r="G4" s="18" t="s">
        <v>3</v>
      </c>
      <c r="H4" s="20" t="s">
        <v>190</v>
      </c>
      <c r="I4" s="10">
        <v>55</v>
      </c>
      <c r="J4" s="10" t="s">
        <v>107</v>
      </c>
      <c r="K4" s="21">
        <f>18.34%*N4</f>
        <v>52.512921999999996</v>
      </c>
      <c r="L4" s="21">
        <f>13.89% *N4</f>
        <v>39.771236999999999</v>
      </c>
      <c r="M4" s="21">
        <f>67.77%*N4</f>
        <v>194.04584099999997</v>
      </c>
      <c r="N4" s="10">
        <v>286.33</v>
      </c>
      <c r="O4" s="9" t="s">
        <v>116</v>
      </c>
      <c r="P4" s="9" t="s">
        <v>6</v>
      </c>
      <c r="Q4" s="9" t="s">
        <v>117</v>
      </c>
      <c r="R4" s="9" t="s">
        <v>116</v>
      </c>
      <c r="S4" s="9" t="s">
        <v>6</v>
      </c>
      <c r="T4" s="9" t="s">
        <v>7</v>
      </c>
      <c r="U4" s="9" t="s">
        <v>8</v>
      </c>
      <c r="V4" s="9" t="s">
        <v>9</v>
      </c>
      <c r="W4" s="22">
        <v>45658</v>
      </c>
      <c r="X4" s="22">
        <v>47118</v>
      </c>
    </row>
    <row r="5" spans="1:24" ht="45" x14ac:dyDescent="0.25">
      <c r="A5" s="18">
        <v>2</v>
      </c>
      <c r="B5" s="19" t="s">
        <v>22</v>
      </c>
      <c r="C5" s="18" t="s">
        <v>44</v>
      </c>
      <c r="D5" s="18" t="s">
        <v>97</v>
      </c>
      <c r="E5" s="8">
        <v>6</v>
      </c>
      <c r="F5" s="18" t="s">
        <v>13</v>
      </c>
      <c r="G5" s="18" t="s">
        <v>11</v>
      </c>
      <c r="H5" s="20" t="s">
        <v>134</v>
      </c>
      <c r="I5" s="10">
        <v>12.5</v>
      </c>
      <c r="J5" s="10" t="s">
        <v>4</v>
      </c>
      <c r="K5" s="21">
        <f>41.87%*N5</f>
        <v>2.4334843999999998</v>
      </c>
      <c r="L5" s="21">
        <f>58.12%*N5</f>
        <v>3.3779344</v>
      </c>
      <c r="M5" s="21">
        <f t="shared" ref="M5:M36" si="0">0%*N5</f>
        <v>0</v>
      </c>
      <c r="N5" s="10">
        <v>5.8120000000000003</v>
      </c>
      <c r="O5" s="9" t="s">
        <v>5</v>
      </c>
      <c r="P5" s="9" t="s">
        <v>6</v>
      </c>
      <c r="Q5" s="9">
        <v>5922052829</v>
      </c>
      <c r="R5" s="9" t="s">
        <v>5</v>
      </c>
      <c r="S5" s="9" t="s">
        <v>6</v>
      </c>
      <c r="T5" s="9" t="s">
        <v>7</v>
      </c>
      <c r="U5" s="9" t="s">
        <v>8</v>
      </c>
      <c r="V5" s="9" t="s">
        <v>9</v>
      </c>
      <c r="W5" s="22">
        <v>45658</v>
      </c>
      <c r="X5" s="22">
        <v>47118</v>
      </c>
    </row>
    <row r="6" spans="1:24" ht="45" x14ac:dyDescent="0.25">
      <c r="A6" s="18">
        <v>3</v>
      </c>
      <c r="B6" s="19" t="s">
        <v>22</v>
      </c>
      <c r="C6" s="18" t="s">
        <v>0</v>
      </c>
      <c r="D6" s="18" t="s">
        <v>98</v>
      </c>
      <c r="E6" s="8">
        <v>6</v>
      </c>
      <c r="F6" s="18" t="s">
        <v>2</v>
      </c>
      <c r="G6" s="18" t="s">
        <v>3</v>
      </c>
      <c r="H6" s="20" t="s">
        <v>135</v>
      </c>
      <c r="I6" s="10">
        <v>12.5</v>
      </c>
      <c r="J6" s="10" t="s">
        <v>4</v>
      </c>
      <c r="K6" s="21">
        <f>41.87%*N6</f>
        <v>1.9503045999999999</v>
      </c>
      <c r="L6" s="21">
        <f>58.12%*N6</f>
        <v>2.7072295999999998</v>
      </c>
      <c r="M6" s="21">
        <f t="shared" si="0"/>
        <v>0</v>
      </c>
      <c r="N6" s="10">
        <v>4.6580000000000004</v>
      </c>
      <c r="O6" s="9" t="s">
        <v>5</v>
      </c>
      <c r="P6" s="9" t="s">
        <v>6</v>
      </c>
      <c r="Q6" s="9">
        <v>5922052829</v>
      </c>
      <c r="R6" s="9" t="s">
        <v>5</v>
      </c>
      <c r="S6" s="9" t="s">
        <v>6</v>
      </c>
      <c r="T6" s="9" t="s">
        <v>7</v>
      </c>
      <c r="U6" s="9" t="s">
        <v>8</v>
      </c>
      <c r="V6" s="9" t="s">
        <v>9</v>
      </c>
      <c r="W6" s="22">
        <v>45658</v>
      </c>
      <c r="X6" s="22">
        <v>47118</v>
      </c>
    </row>
    <row r="7" spans="1:24" ht="44.25" customHeight="1" x14ac:dyDescent="0.25">
      <c r="A7" s="18">
        <v>4</v>
      </c>
      <c r="B7" s="19" t="s">
        <v>220</v>
      </c>
      <c r="C7" s="18" t="s">
        <v>0</v>
      </c>
      <c r="D7" s="18" t="s">
        <v>98</v>
      </c>
      <c r="E7" s="17" t="s">
        <v>206</v>
      </c>
      <c r="F7" s="18" t="s">
        <v>2</v>
      </c>
      <c r="G7" s="18" t="s">
        <v>3</v>
      </c>
      <c r="H7" s="20" t="s">
        <v>136</v>
      </c>
      <c r="I7" s="10">
        <v>23</v>
      </c>
      <c r="J7" s="10" t="s">
        <v>4</v>
      </c>
      <c r="K7" s="21">
        <f>35.19%*N7</f>
        <v>3.8814569999999997</v>
      </c>
      <c r="L7" s="21">
        <f>64.8%*N7</f>
        <v>7.1474399999999996</v>
      </c>
      <c r="M7" s="21">
        <f t="shared" si="0"/>
        <v>0</v>
      </c>
      <c r="N7" s="10">
        <v>11.03</v>
      </c>
      <c r="O7" s="9" t="s">
        <v>116</v>
      </c>
      <c r="P7" s="9" t="s">
        <v>6</v>
      </c>
      <c r="Q7" s="9" t="s">
        <v>117</v>
      </c>
      <c r="R7" s="9" t="s">
        <v>116</v>
      </c>
      <c r="S7" s="9" t="s">
        <v>6</v>
      </c>
      <c r="T7" s="9" t="s">
        <v>7</v>
      </c>
      <c r="U7" s="9" t="s">
        <v>8</v>
      </c>
      <c r="V7" s="9" t="s">
        <v>9</v>
      </c>
      <c r="W7" s="22">
        <v>45658</v>
      </c>
      <c r="X7" s="22">
        <v>47118</v>
      </c>
    </row>
    <row r="8" spans="1:24" ht="45" x14ac:dyDescent="0.25">
      <c r="A8" s="18">
        <v>5</v>
      </c>
      <c r="B8" s="19" t="s">
        <v>10</v>
      </c>
      <c r="C8" s="18" t="s">
        <v>11</v>
      </c>
      <c r="D8" s="18" t="s">
        <v>12</v>
      </c>
      <c r="E8" s="8">
        <v>14</v>
      </c>
      <c r="F8" s="18" t="s">
        <v>13</v>
      </c>
      <c r="G8" s="18" t="s">
        <v>11</v>
      </c>
      <c r="H8" s="20" t="s">
        <v>137</v>
      </c>
      <c r="I8" s="10">
        <v>6.5</v>
      </c>
      <c r="J8" s="10" t="s">
        <v>14</v>
      </c>
      <c r="K8" s="21">
        <f>100%*N8</f>
        <v>0</v>
      </c>
      <c r="L8" s="21">
        <f>0%*N8</f>
        <v>0</v>
      </c>
      <c r="M8" s="21">
        <f t="shared" si="0"/>
        <v>0</v>
      </c>
      <c r="N8" s="10">
        <v>0</v>
      </c>
      <c r="O8" s="9" t="s">
        <v>5</v>
      </c>
      <c r="P8" s="9" t="s">
        <v>6</v>
      </c>
      <c r="Q8" s="9">
        <v>5922052829</v>
      </c>
      <c r="R8" s="9" t="s">
        <v>5</v>
      </c>
      <c r="S8" s="9" t="s">
        <v>6</v>
      </c>
      <c r="T8" s="9" t="s">
        <v>7</v>
      </c>
      <c r="U8" s="9" t="s">
        <v>8</v>
      </c>
      <c r="V8" s="9" t="s">
        <v>9</v>
      </c>
      <c r="W8" s="22">
        <v>45658</v>
      </c>
      <c r="X8" s="22">
        <v>47118</v>
      </c>
    </row>
    <row r="9" spans="1:24" ht="45" x14ac:dyDescent="0.25">
      <c r="A9" s="18">
        <v>6</v>
      </c>
      <c r="B9" s="19" t="s">
        <v>15</v>
      </c>
      <c r="C9" s="18" t="s">
        <v>11</v>
      </c>
      <c r="D9" s="18" t="s">
        <v>16</v>
      </c>
      <c r="E9" s="8">
        <v>10</v>
      </c>
      <c r="F9" s="18" t="s">
        <v>13</v>
      </c>
      <c r="G9" s="18" t="s">
        <v>11</v>
      </c>
      <c r="H9" s="20" t="s">
        <v>138</v>
      </c>
      <c r="I9" s="10">
        <v>6</v>
      </c>
      <c r="J9" s="10" t="s">
        <v>14</v>
      </c>
      <c r="K9" s="21">
        <f>100%*N9</f>
        <v>1.1437839999999999</v>
      </c>
      <c r="L9" s="21">
        <f>0%*N9</f>
        <v>0</v>
      </c>
      <c r="M9" s="21">
        <f t="shared" si="0"/>
        <v>0</v>
      </c>
      <c r="N9" s="10">
        <v>1.1437839999999999</v>
      </c>
      <c r="O9" s="9" t="s">
        <v>5</v>
      </c>
      <c r="P9" s="9" t="s">
        <v>6</v>
      </c>
      <c r="Q9" s="9">
        <v>5922052829</v>
      </c>
      <c r="R9" s="9" t="s">
        <v>5</v>
      </c>
      <c r="S9" s="9" t="s">
        <v>6</v>
      </c>
      <c r="T9" s="9" t="s">
        <v>7</v>
      </c>
      <c r="U9" s="9" t="s">
        <v>8</v>
      </c>
      <c r="V9" s="9" t="s">
        <v>9</v>
      </c>
      <c r="W9" s="22">
        <v>45658</v>
      </c>
      <c r="X9" s="22">
        <v>47118</v>
      </c>
    </row>
    <row r="10" spans="1:24" ht="45" x14ac:dyDescent="0.25">
      <c r="A10" s="18">
        <v>7</v>
      </c>
      <c r="B10" s="23" t="s">
        <v>222</v>
      </c>
      <c r="C10" s="18" t="s">
        <v>11</v>
      </c>
      <c r="D10" s="19" t="s">
        <v>207</v>
      </c>
      <c r="E10" s="8">
        <v>22</v>
      </c>
      <c r="F10" s="18" t="s">
        <v>13</v>
      </c>
      <c r="G10" s="18" t="s">
        <v>11</v>
      </c>
      <c r="H10" s="20" t="s">
        <v>139</v>
      </c>
      <c r="I10" s="10">
        <v>21</v>
      </c>
      <c r="J10" s="10" t="s">
        <v>4</v>
      </c>
      <c r="K10" s="21">
        <f>34.11%*N10</f>
        <v>5.999949</v>
      </c>
      <c r="L10" s="21">
        <f>65.88%*N10</f>
        <v>11.588291999999999</v>
      </c>
      <c r="M10" s="21">
        <f t="shared" si="0"/>
        <v>0</v>
      </c>
      <c r="N10" s="10">
        <v>17.59</v>
      </c>
      <c r="O10" s="9" t="s">
        <v>116</v>
      </c>
      <c r="P10" s="9" t="s">
        <v>6</v>
      </c>
      <c r="Q10" s="9" t="s">
        <v>117</v>
      </c>
      <c r="R10" s="9" t="s">
        <v>116</v>
      </c>
      <c r="S10" s="9" t="s">
        <v>6</v>
      </c>
      <c r="T10" s="9" t="s">
        <v>7</v>
      </c>
      <c r="U10" s="9" t="s">
        <v>8</v>
      </c>
      <c r="V10" s="9" t="s">
        <v>9</v>
      </c>
      <c r="W10" s="22">
        <v>45658</v>
      </c>
      <c r="X10" s="22">
        <v>47118</v>
      </c>
    </row>
    <row r="11" spans="1:24" ht="45" x14ac:dyDescent="0.25">
      <c r="A11" s="18">
        <v>8</v>
      </c>
      <c r="B11" s="19" t="s">
        <v>22</v>
      </c>
      <c r="C11" s="18" t="s">
        <v>99</v>
      </c>
      <c r="D11" s="18" t="s">
        <v>1</v>
      </c>
      <c r="E11" s="8" t="s">
        <v>100</v>
      </c>
      <c r="F11" s="18" t="s">
        <v>13</v>
      </c>
      <c r="G11" s="18" t="s">
        <v>11</v>
      </c>
      <c r="H11" s="20" t="s">
        <v>140</v>
      </c>
      <c r="I11" s="10">
        <v>18</v>
      </c>
      <c r="J11" s="10" t="s">
        <v>4</v>
      </c>
      <c r="K11" s="21">
        <f>33.33%*N11</f>
        <v>0.52228109999999994</v>
      </c>
      <c r="L11" s="21">
        <f>66.66%*N11</f>
        <v>1.0445621999999999</v>
      </c>
      <c r="M11" s="21">
        <f t="shared" si="0"/>
        <v>0</v>
      </c>
      <c r="N11" s="10">
        <v>1.5669999999999999</v>
      </c>
      <c r="O11" s="9" t="s">
        <v>5</v>
      </c>
      <c r="P11" s="9" t="s">
        <v>6</v>
      </c>
      <c r="Q11" s="9">
        <v>5922052829</v>
      </c>
      <c r="R11" s="9" t="s">
        <v>5</v>
      </c>
      <c r="S11" s="9" t="s">
        <v>6</v>
      </c>
      <c r="T11" s="9" t="s">
        <v>7</v>
      </c>
      <c r="U11" s="9" t="s">
        <v>8</v>
      </c>
      <c r="V11" s="9" t="s">
        <v>9</v>
      </c>
      <c r="W11" s="22">
        <v>45658</v>
      </c>
      <c r="X11" s="22">
        <v>47118</v>
      </c>
    </row>
    <row r="12" spans="1:24" ht="45" x14ac:dyDescent="0.25">
      <c r="A12" s="18">
        <v>9</v>
      </c>
      <c r="B12" s="19" t="s">
        <v>17</v>
      </c>
      <c r="C12" s="18" t="s">
        <v>3</v>
      </c>
      <c r="D12" s="18" t="s">
        <v>18</v>
      </c>
      <c r="E12" s="8">
        <v>53</v>
      </c>
      <c r="F12" s="18" t="s">
        <v>2</v>
      </c>
      <c r="G12" s="18" t="s">
        <v>3</v>
      </c>
      <c r="H12" s="20" t="s">
        <v>141</v>
      </c>
      <c r="I12" s="10">
        <v>35</v>
      </c>
      <c r="J12" s="10" t="s">
        <v>4</v>
      </c>
      <c r="K12" s="21">
        <f>31.54%*N12</f>
        <v>1.7784573344000001</v>
      </c>
      <c r="L12" s="21">
        <f>68.45%*N12</f>
        <v>3.8597147919999997</v>
      </c>
      <c r="M12" s="21">
        <f t="shared" si="0"/>
        <v>0</v>
      </c>
      <c r="N12" s="10">
        <v>5.6387359999999997</v>
      </c>
      <c r="O12" s="9" t="s">
        <v>5</v>
      </c>
      <c r="P12" s="9" t="s">
        <v>6</v>
      </c>
      <c r="Q12" s="9">
        <v>5922052829</v>
      </c>
      <c r="R12" s="9" t="s">
        <v>5</v>
      </c>
      <c r="S12" s="9" t="s">
        <v>6</v>
      </c>
      <c r="T12" s="9" t="s">
        <v>7</v>
      </c>
      <c r="U12" s="9" t="s">
        <v>8</v>
      </c>
      <c r="V12" s="9" t="s">
        <v>9</v>
      </c>
      <c r="W12" s="22">
        <v>45658</v>
      </c>
      <c r="X12" s="22">
        <v>47118</v>
      </c>
    </row>
    <row r="13" spans="1:24" ht="45" x14ac:dyDescent="0.25">
      <c r="A13" s="18">
        <v>10</v>
      </c>
      <c r="B13" s="19" t="s">
        <v>221</v>
      </c>
      <c r="C13" s="18" t="s">
        <v>3</v>
      </c>
      <c r="D13" s="18" t="s">
        <v>18</v>
      </c>
      <c r="E13" s="8" t="s">
        <v>195</v>
      </c>
      <c r="F13" s="18" t="s">
        <v>2</v>
      </c>
      <c r="G13" s="18" t="s">
        <v>3</v>
      </c>
      <c r="H13" s="20" t="s">
        <v>142</v>
      </c>
      <c r="I13" s="10">
        <v>33</v>
      </c>
      <c r="J13" s="10" t="s">
        <v>4</v>
      </c>
      <c r="K13" s="21">
        <f>30.63%*N13</f>
        <v>29.490564000000003</v>
      </c>
      <c r="L13" s="21">
        <f>69.36%*N13</f>
        <v>66.779808000000003</v>
      </c>
      <c r="M13" s="21">
        <f t="shared" si="0"/>
        <v>0</v>
      </c>
      <c r="N13" s="10">
        <v>96.28</v>
      </c>
      <c r="O13" s="9" t="s">
        <v>116</v>
      </c>
      <c r="P13" s="9" t="s">
        <v>6</v>
      </c>
      <c r="Q13" s="9" t="s">
        <v>117</v>
      </c>
      <c r="R13" s="9" t="s">
        <v>116</v>
      </c>
      <c r="S13" s="9" t="s">
        <v>6</v>
      </c>
      <c r="T13" s="9" t="s">
        <v>7</v>
      </c>
      <c r="U13" s="9" t="s">
        <v>8</v>
      </c>
      <c r="V13" s="9" t="s">
        <v>9</v>
      </c>
      <c r="W13" s="22">
        <v>45658</v>
      </c>
      <c r="X13" s="22">
        <v>47118</v>
      </c>
    </row>
    <row r="14" spans="1:24" ht="45" x14ac:dyDescent="0.25">
      <c r="A14" s="18">
        <v>11</v>
      </c>
      <c r="B14" s="19" t="s">
        <v>19</v>
      </c>
      <c r="C14" s="18" t="s">
        <v>20</v>
      </c>
      <c r="D14" s="18" t="s">
        <v>196</v>
      </c>
      <c r="E14" s="17" t="s">
        <v>208</v>
      </c>
      <c r="F14" s="18" t="s">
        <v>2</v>
      </c>
      <c r="G14" s="18" t="s">
        <v>3</v>
      </c>
      <c r="H14" s="20" t="s">
        <v>143</v>
      </c>
      <c r="I14" s="10">
        <v>11</v>
      </c>
      <c r="J14" s="10" t="s">
        <v>4</v>
      </c>
      <c r="K14" s="21">
        <f>38.16%*N14</f>
        <v>0.9997919999999999</v>
      </c>
      <c r="L14" s="21">
        <f>61.83%*N14</f>
        <v>1.6199459999999999</v>
      </c>
      <c r="M14" s="21">
        <f t="shared" si="0"/>
        <v>0</v>
      </c>
      <c r="N14" s="10">
        <v>2.62</v>
      </c>
      <c r="O14" s="9" t="s">
        <v>116</v>
      </c>
      <c r="P14" s="9" t="s">
        <v>6</v>
      </c>
      <c r="Q14" s="9" t="s">
        <v>117</v>
      </c>
      <c r="R14" s="9" t="s">
        <v>116</v>
      </c>
      <c r="S14" s="9" t="s">
        <v>6</v>
      </c>
      <c r="T14" s="9" t="s">
        <v>7</v>
      </c>
      <c r="U14" s="9" t="s">
        <v>8</v>
      </c>
      <c r="V14" s="9" t="s">
        <v>9</v>
      </c>
      <c r="W14" s="22">
        <v>45658</v>
      </c>
      <c r="X14" s="22">
        <v>47118</v>
      </c>
    </row>
    <row r="15" spans="1:24" ht="45" x14ac:dyDescent="0.25">
      <c r="A15" s="18">
        <v>12</v>
      </c>
      <c r="B15" s="19" t="s">
        <v>21</v>
      </c>
      <c r="C15" s="18" t="s">
        <v>20</v>
      </c>
      <c r="D15" s="18" t="s">
        <v>197</v>
      </c>
      <c r="E15" s="17" t="s">
        <v>223</v>
      </c>
      <c r="F15" s="18" t="s">
        <v>2</v>
      </c>
      <c r="G15" s="18" t="s">
        <v>3</v>
      </c>
      <c r="H15" s="20" t="s">
        <v>144</v>
      </c>
      <c r="I15" s="10">
        <v>7</v>
      </c>
      <c r="J15" s="10" t="s">
        <v>4</v>
      </c>
      <c r="K15" s="21">
        <f>30%*N15</f>
        <v>0.3</v>
      </c>
      <c r="L15" s="21">
        <f>70%*N15</f>
        <v>0.7</v>
      </c>
      <c r="M15" s="21">
        <f t="shared" si="0"/>
        <v>0</v>
      </c>
      <c r="N15" s="10">
        <v>1</v>
      </c>
      <c r="O15" s="9" t="s">
        <v>116</v>
      </c>
      <c r="P15" s="9" t="s">
        <v>6</v>
      </c>
      <c r="Q15" s="9" t="s">
        <v>117</v>
      </c>
      <c r="R15" s="9" t="s">
        <v>116</v>
      </c>
      <c r="S15" s="9" t="s">
        <v>6</v>
      </c>
      <c r="T15" s="9" t="s">
        <v>7</v>
      </c>
      <c r="U15" s="9" t="s">
        <v>8</v>
      </c>
      <c r="V15" s="9" t="s">
        <v>9</v>
      </c>
      <c r="W15" s="22">
        <v>45658</v>
      </c>
      <c r="X15" s="22">
        <v>47118</v>
      </c>
    </row>
    <row r="16" spans="1:24" ht="45" x14ac:dyDescent="0.25">
      <c r="A16" s="18">
        <v>13</v>
      </c>
      <c r="B16" s="19" t="s">
        <v>79</v>
      </c>
      <c r="C16" s="18" t="s">
        <v>11</v>
      </c>
      <c r="D16" s="18" t="s">
        <v>1</v>
      </c>
      <c r="E16" s="8" t="s">
        <v>1</v>
      </c>
      <c r="F16" s="18" t="s">
        <v>13</v>
      </c>
      <c r="G16" s="18" t="s">
        <v>11</v>
      </c>
      <c r="H16" s="20" t="s">
        <v>145</v>
      </c>
      <c r="I16" s="10">
        <v>1</v>
      </c>
      <c r="J16" s="10" t="s">
        <v>4</v>
      </c>
      <c r="K16" s="21">
        <f>38.88%*N16</f>
        <v>0.54467652960000001</v>
      </c>
      <c r="L16" s="21">
        <f>61.11%*N16</f>
        <v>0.8561003787</v>
      </c>
      <c r="M16" s="21">
        <f t="shared" si="0"/>
        <v>0</v>
      </c>
      <c r="N16" s="10">
        <v>1.400917</v>
      </c>
      <c r="O16" s="9" t="s">
        <v>5</v>
      </c>
      <c r="P16" s="9" t="s">
        <v>6</v>
      </c>
      <c r="Q16" s="9">
        <v>5922052829</v>
      </c>
      <c r="R16" s="9" t="s">
        <v>5</v>
      </c>
      <c r="S16" s="9" t="s">
        <v>6</v>
      </c>
      <c r="T16" s="9" t="s">
        <v>7</v>
      </c>
      <c r="U16" s="9" t="s">
        <v>8</v>
      </c>
      <c r="V16" s="9" t="s">
        <v>9</v>
      </c>
      <c r="W16" s="22">
        <v>45658</v>
      </c>
      <c r="X16" s="22">
        <v>47118</v>
      </c>
    </row>
    <row r="17" spans="1:24" ht="45" x14ac:dyDescent="0.25">
      <c r="A17" s="18">
        <v>14</v>
      </c>
      <c r="B17" s="19" t="s">
        <v>22</v>
      </c>
      <c r="C17" s="18" t="s">
        <v>23</v>
      </c>
      <c r="D17" s="18" t="s">
        <v>24</v>
      </c>
      <c r="E17" s="8">
        <v>16</v>
      </c>
      <c r="F17" s="18" t="s">
        <v>13</v>
      </c>
      <c r="G17" s="18" t="s">
        <v>11</v>
      </c>
      <c r="H17" s="20" t="s">
        <v>146</v>
      </c>
      <c r="I17" s="10">
        <v>16</v>
      </c>
      <c r="J17" s="10" t="s">
        <v>4</v>
      </c>
      <c r="K17" s="21">
        <f>30%*N17</f>
        <v>0.8142336</v>
      </c>
      <c r="L17" s="21">
        <f>70%*N17</f>
        <v>1.8998784</v>
      </c>
      <c r="M17" s="21">
        <f t="shared" si="0"/>
        <v>0</v>
      </c>
      <c r="N17" s="10">
        <v>2.7141120000000001</v>
      </c>
      <c r="O17" s="9" t="s">
        <v>5</v>
      </c>
      <c r="P17" s="9" t="s">
        <v>6</v>
      </c>
      <c r="Q17" s="9">
        <v>5922052829</v>
      </c>
      <c r="R17" s="9" t="s">
        <v>5</v>
      </c>
      <c r="S17" s="9" t="s">
        <v>6</v>
      </c>
      <c r="T17" s="9" t="s">
        <v>7</v>
      </c>
      <c r="U17" s="9" t="s">
        <v>8</v>
      </c>
      <c r="V17" s="9" t="s">
        <v>9</v>
      </c>
      <c r="W17" s="22">
        <v>45658</v>
      </c>
      <c r="X17" s="22">
        <v>47118</v>
      </c>
    </row>
    <row r="18" spans="1:24" ht="45" x14ac:dyDescent="0.25">
      <c r="A18" s="18">
        <v>15</v>
      </c>
      <c r="B18" s="19" t="s">
        <v>15</v>
      </c>
      <c r="C18" s="18" t="s">
        <v>23</v>
      </c>
      <c r="D18" s="18" t="s">
        <v>25</v>
      </c>
      <c r="E18" s="8">
        <v>7</v>
      </c>
      <c r="F18" s="18" t="s">
        <v>13</v>
      </c>
      <c r="G18" s="18" t="s">
        <v>11</v>
      </c>
      <c r="H18" s="20" t="s">
        <v>147</v>
      </c>
      <c r="I18" s="10">
        <v>11</v>
      </c>
      <c r="J18" s="10" t="s">
        <v>14</v>
      </c>
      <c r="K18" s="21">
        <f>100%*N18</f>
        <v>1.9859999999999999E-3</v>
      </c>
      <c r="L18" s="21">
        <f>0%*N18</f>
        <v>0</v>
      </c>
      <c r="M18" s="21">
        <f t="shared" si="0"/>
        <v>0</v>
      </c>
      <c r="N18" s="10">
        <v>1.9859999999999999E-3</v>
      </c>
      <c r="O18" s="9" t="s">
        <v>5</v>
      </c>
      <c r="P18" s="9" t="s">
        <v>6</v>
      </c>
      <c r="Q18" s="9">
        <v>5922052829</v>
      </c>
      <c r="R18" s="9" t="s">
        <v>5</v>
      </c>
      <c r="S18" s="9" t="s">
        <v>6</v>
      </c>
      <c r="T18" s="9" t="s">
        <v>7</v>
      </c>
      <c r="U18" s="9" t="s">
        <v>8</v>
      </c>
      <c r="V18" s="9" t="s">
        <v>9</v>
      </c>
      <c r="W18" s="22">
        <v>45658</v>
      </c>
      <c r="X18" s="22">
        <v>47118</v>
      </c>
    </row>
    <row r="19" spans="1:24" ht="45" x14ac:dyDescent="0.25">
      <c r="A19" s="18">
        <v>16</v>
      </c>
      <c r="B19" s="19" t="s">
        <v>15</v>
      </c>
      <c r="C19" s="18" t="s">
        <v>3</v>
      </c>
      <c r="D19" s="18" t="s">
        <v>26</v>
      </c>
      <c r="E19" s="8" t="s">
        <v>1</v>
      </c>
      <c r="F19" s="18" t="s">
        <v>2</v>
      </c>
      <c r="G19" s="18" t="s">
        <v>3</v>
      </c>
      <c r="H19" s="20" t="s">
        <v>148</v>
      </c>
      <c r="I19" s="10">
        <v>22</v>
      </c>
      <c r="J19" s="10" t="s">
        <v>4</v>
      </c>
      <c r="K19" s="21">
        <f>28.01%*N19</f>
        <v>2.5847132223000004</v>
      </c>
      <c r="L19" s="21">
        <f>71.98%*N19</f>
        <v>6.6421869954000003</v>
      </c>
      <c r="M19" s="21">
        <f t="shared" si="0"/>
        <v>0</v>
      </c>
      <c r="N19" s="10">
        <v>9.2278230000000008</v>
      </c>
      <c r="O19" s="9" t="s">
        <v>5</v>
      </c>
      <c r="P19" s="9" t="s">
        <v>6</v>
      </c>
      <c r="Q19" s="9">
        <v>5922052829</v>
      </c>
      <c r="R19" s="9" t="s">
        <v>5</v>
      </c>
      <c r="S19" s="9" t="s">
        <v>6</v>
      </c>
      <c r="T19" s="9" t="s">
        <v>7</v>
      </c>
      <c r="U19" s="9" t="s">
        <v>8</v>
      </c>
      <c r="V19" s="9" t="s">
        <v>9</v>
      </c>
      <c r="W19" s="22">
        <v>45658</v>
      </c>
      <c r="X19" s="22">
        <v>47118</v>
      </c>
    </row>
    <row r="20" spans="1:24" ht="45" x14ac:dyDescent="0.25">
      <c r="A20" s="18">
        <v>17</v>
      </c>
      <c r="B20" s="19" t="s">
        <v>27</v>
      </c>
      <c r="C20" s="18" t="s">
        <v>3</v>
      </c>
      <c r="D20" s="18" t="s">
        <v>28</v>
      </c>
      <c r="E20" s="8" t="s">
        <v>1</v>
      </c>
      <c r="F20" s="18" t="s">
        <v>2</v>
      </c>
      <c r="G20" s="18" t="s">
        <v>3</v>
      </c>
      <c r="H20" s="20" t="s">
        <v>149</v>
      </c>
      <c r="I20" s="10">
        <v>2</v>
      </c>
      <c r="J20" s="10" t="s">
        <v>14</v>
      </c>
      <c r="K20" s="21">
        <f>100%*N20</f>
        <v>0.85189099999999995</v>
      </c>
      <c r="L20" s="21">
        <f>0%*N20</f>
        <v>0</v>
      </c>
      <c r="M20" s="21">
        <f t="shared" si="0"/>
        <v>0</v>
      </c>
      <c r="N20" s="10">
        <v>0.85189099999999995</v>
      </c>
      <c r="O20" s="9" t="s">
        <v>5</v>
      </c>
      <c r="P20" s="9" t="s">
        <v>6</v>
      </c>
      <c r="Q20" s="9">
        <v>5922052829</v>
      </c>
      <c r="R20" s="9" t="s">
        <v>5</v>
      </c>
      <c r="S20" s="9" t="s">
        <v>6</v>
      </c>
      <c r="T20" s="9" t="s">
        <v>7</v>
      </c>
      <c r="U20" s="9" t="s">
        <v>8</v>
      </c>
      <c r="V20" s="9" t="s">
        <v>9</v>
      </c>
      <c r="W20" s="22">
        <v>45658</v>
      </c>
      <c r="X20" s="22">
        <v>47118</v>
      </c>
    </row>
    <row r="21" spans="1:24" ht="45" x14ac:dyDescent="0.25">
      <c r="A21" s="18">
        <v>18</v>
      </c>
      <c r="B21" s="19" t="s">
        <v>29</v>
      </c>
      <c r="C21" s="18" t="s">
        <v>3</v>
      </c>
      <c r="D21" s="18" t="s">
        <v>18</v>
      </c>
      <c r="E21" s="8" t="s">
        <v>1</v>
      </c>
      <c r="F21" s="18" t="s">
        <v>2</v>
      </c>
      <c r="G21" s="18" t="s">
        <v>3</v>
      </c>
      <c r="H21" s="20" t="s">
        <v>150</v>
      </c>
      <c r="I21" s="10">
        <v>13</v>
      </c>
      <c r="J21" s="10" t="s">
        <v>4</v>
      </c>
      <c r="K21" s="21">
        <f>35%*N21</f>
        <v>0.1199639</v>
      </c>
      <c r="L21" s="21">
        <f>65%*N21</f>
        <v>0.22279010000000002</v>
      </c>
      <c r="M21" s="21">
        <f t="shared" si="0"/>
        <v>0</v>
      </c>
      <c r="N21" s="10">
        <v>0.342754</v>
      </c>
      <c r="O21" s="9" t="s">
        <v>5</v>
      </c>
      <c r="P21" s="9" t="s">
        <v>6</v>
      </c>
      <c r="Q21" s="9">
        <v>5922052829</v>
      </c>
      <c r="R21" s="9" t="s">
        <v>5</v>
      </c>
      <c r="S21" s="9" t="s">
        <v>6</v>
      </c>
      <c r="T21" s="9" t="s">
        <v>7</v>
      </c>
      <c r="U21" s="9" t="s">
        <v>8</v>
      </c>
      <c r="V21" s="9" t="s">
        <v>9</v>
      </c>
      <c r="W21" s="22">
        <v>45658</v>
      </c>
      <c r="X21" s="22">
        <v>47118</v>
      </c>
    </row>
    <row r="22" spans="1:24" ht="45" x14ac:dyDescent="0.25">
      <c r="A22" s="18">
        <v>19</v>
      </c>
      <c r="B22" s="19" t="s">
        <v>30</v>
      </c>
      <c r="C22" s="18" t="s">
        <v>3</v>
      </c>
      <c r="D22" s="18" t="s">
        <v>31</v>
      </c>
      <c r="E22" s="8" t="s">
        <v>198</v>
      </c>
      <c r="F22" s="18" t="s">
        <v>2</v>
      </c>
      <c r="G22" s="18" t="s">
        <v>3</v>
      </c>
      <c r="H22" s="20" t="s">
        <v>151</v>
      </c>
      <c r="I22" s="10">
        <v>10</v>
      </c>
      <c r="J22" s="10" t="s">
        <v>4</v>
      </c>
      <c r="K22" s="21">
        <f>28.72%*N22</f>
        <v>0.53993599999999997</v>
      </c>
      <c r="L22" s="21">
        <f>71.27%*N22</f>
        <v>1.3398759999999998</v>
      </c>
      <c r="M22" s="21">
        <f t="shared" si="0"/>
        <v>0</v>
      </c>
      <c r="N22" s="10">
        <v>1.88</v>
      </c>
      <c r="O22" s="9" t="s">
        <v>116</v>
      </c>
      <c r="P22" s="9" t="s">
        <v>6</v>
      </c>
      <c r="Q22" s="9" t="s">
        <v>117</v>
      </c>
      <c r="R22" s="9" t="s">
        <v>116</v>
      </c>
      <c r="S22" s="9" t="s">
        <v>6</v>
      </c>
      <c r="T22" s="9" t="s">
        <v>7</v>
      </c>
      <c r="U22" s="9" t="s">
        <v>8</v>
      </c>
      <c r="V22" s="9" t="s">
        <v>9</v>
      </c>
      <c r="W22" s="22">
        <v>45658</v>
      </c>
      <c r="X22" s="22">
        <v>47118</v>
      </c>
    </row>
    <row r="23" spans="1:24" ht="45" x14ac:dyDescent="0.25">
      <c r="A23" s="18">
        <v>20</v>
      </c>
      <c r="B23" s="19" t="s">
        <v>32</v>
      </c>
      <c r="C23" s="18" t="s">
        <v>11</v>
      </c>
      <c r="D23" s="18" t="s">
        <v>238</v>
      </c>
      <c r="E23" s="8">
        <v>310</v>
      </c>
      <c r="F23" s="18" t="s">
        <v>13</v>
      </c>
      <c r="G23" s="18" t="s">
        <v>11</v>
      </c>
      <c r="H23" s="20" t="s">
        <v>152</v>
      </c>
      <c r="I23" s="10">
        <v>33</v>
      </c>
      <c r="J23" s="10" t="s">
        <v>4</v>
      </c>
      <c r="K23" s="21">
        <f>35.62%*N23</f>
        <v>3.7329759999999998</v>
      </c>
      <c r="L23" s="21">
        <f>64.37%*N23</f>
        <v>6.7459760000000006</v>
      </c>
      <c r="M23" s="21">
        <f t="shared" si="0"/>
        <v>0</v>
      </c>
      <c r="N23" s="10">
        <v>10.48</v>
      </c>
      <c r="O23" s="9" t="s">
        <v>116</v>
      </c>
      <c r="P23" s="9" t="s">
        <v>6</v>
      </c>
      <c r="Q23" s="9" t="s">
        <v>117</v>
      </c>
      <c r="R23" s="9" t="s">
        <v>116</v>
      </c>
      <c r="S23" s="9" t="s">
        <v>6</v>
      </c>
      <c r="T23" s="9" t="s">
        <v>7</v>
      </c>
      <c r="U23" s="9" t="s">
        <v>8</v>
      </c>
      <c r="V23" s="9" t="s">
        <v>9</v>
      </c>
      <c r="W23" s="22">
        <v>45658</v>
      </c>
      <c r="X23" s="22">
        <v>47118</v>
      </c>
    </row>
    <row r="24" spans="1:24" ht="45" x14ac:dyDescent="0.25">
      <c r="A24" s="18">
        <v>21</v>
      </c>
      <c r="B24" s="19" t="s">
        <v>33</v>
      </c>
      <c r="C24" s="18" t="s">
        <v>11</v>
      </c>
      <c r="D24" s="18" t="s">
        <v>34</v>
      </c>
      <c r="E24" s="17" t="s">
        <v>224</v>
      </c>
      <c r="F24" s="18" t="s">
        <v>13</v>
      </c>
      <c r="G24" s="18" t="s">
        <v>11</v>
      </c>
      <c r="H24" s="20" t="s">
        <v>153</v>
      </c>
      <c r="I24" s="10">
        <v>17</v>
      </c>
      <c r="J24" s="10" t="s">
        <v>4</v>
      </c>
      <c r="K24" s="21">
        <f>33.11%*N24</f>
        <v>1.0197880000000001</v>
      </c>
      <c r="L24" s="21">
        <f>66.88%*N24</f>
        <v>2.059904</v>
      </c>
      <c r="M24" s="21">
        <f t="shared" si="0"/>
        <v>0</v>
      </c>
      <c r="N24" s="10">
        <v>3.08</v>
      </c>
      <c r="O24" s="9" t="s">
        <v>116</v>
      </c>
      <c r="P24" s="9" t="s">
        <v>6</v>
      </c>
      <c r="Q24" s="9" t="s">
        <v>117</v>
      </c>
      <c r="R24" s="9" t="s">
        <v>116</v>
      </c>
      <c r="S24" s="9" t="s">
        <v>6</v>
      </c>
      <c r="T24" s="9" t="s">
        <v>7</v>
      </c>
      <c r="U24" s="9" t="s">
        <v>8</v>
      </c>
      <c r="V24" s="9" t="s">
        <v>9</v>
      </c>
      <c r="W24" s="22">
        <v>45658</v>
      </c>
      <c r="X24" s="22">
        <v>47118</v>
      </c>
    </row>
    <row r="25" spans="1:24" ht="45" x14ac:dyDescent="0.25">
      <c r="A25" s="18">
        <v>22</v>
      </c>
      <c r="B25" s="19" t="s">
        <v>35</v>
      </c>
      <c r="C25" s="18" t="s">
        <v>36</v>
      </c>
      <c r="D25" s="18" t="s">
        <v>199</v>
      </c>
      <c r="E25" s="8" t="s">
        <v>200</v>
      </c>
      <c r="F25" s="18" t="s">
        <v>2</v>
      </c>
      <c r="G25" s="18" t="s">
        <v>3</v>
      </c>
      <c r="H25" s="20" t="s">
        <v>154</v>
      </c>
      <c r="I25" s="10">
        <v>7</v>
      </c>
      <c r="J25" s="10" t="s">
        <v>4</v>
      </c>
      <c r="K25" s="21">
        <f>30%*N25</f>
        <v>0.3</v>
      </c>
      <c r="L25" s="21">
        <f>70%*N25</f>
        <v>0.7</v>
      </c>
      <c r="M25" s="21">
        <f t="shared" si="0"/>
        <v>0</v>
      </c>
      <c r="N25" s="10">
        <v>1</v>
      </c>
      <c r="O25" s="9" t="s">
        <v>116</v>
      </c>
      <c r="P25" s="9" t="s">
        <v>6</v>
      </c>
      <c r="Q25" s="9" t="s">
        <v>117</v>
      </c>
      <c r="R25" s="9" t="s">
        <v>116</v>
      </c>
      <c r="S25" s="9" t="s">
        <v>6</v>
      </c>
      <c r="T25" s="9" t="s">
        <v>7</v>
      </c>
      <c r="U25" s="9" t="s">
        <v>8</v>
      </c>
      <c r="V25" s="9" t="s">
        <v>9</v>
      </c>
      <c r="W25" s="22">
        <v>45658</v>
      </c>
      <c r="X25" s="22">
        <v>47118</v>
      </c>
    </row>
    <row r="26" spans="1:24" ht="45" x14ac:dyDescent="0.25">
      <c r="A26" s="18">
        <v>23</v>
      </c>
      <c r="B26" s="19" t="s">
        <v>38</v>
      </c>
      <c r="C26" s="18" t="s">
        <v>3</v>
      </c>
      <c r="D26" s="18" t="s">
        <v>39</v>
      </c>
      <c r="E26" s="8" t="s">
        <v>201</v>
      </c>
      <c r="F26" s="18" t="s">
        <v>2</v>
      </c>
      <c r="G26" s="18" t="s">
        <v>3</v>
      </c>
      <c r="H26" s="20" t="s">
        <v>155</v>
      </c>
      <c r="I26" s="10">
        <v>7</v>
      </c>
      <c r="J26" s="10" t="s">
        <v>14</v>
      </c>
      <c r="K26" s="21">
        <f>100%*N26</f>
        <v>0.84</v>
      </c>
      <c r="L26" s="21">
        <f>0%*N26</f>
        <v>0</v>
      </c>
      <c r="M26" s="21">
        <f t="shared" si="0"/>
        <v>0</v>
      </c>
      <c r="N26" s="10">
        <v>0.84</v>
      </c>
      <c r="O26" s="9" t="s">
        <v>116</v>
      </c>
      <c r="P26" s="9" t="s">
        <v>6</v>
      </c>
      <c r="Q26" s="9" t="s">
        <v>117</v>
      </c>
      <c r="R26" s="9" t="s">
        <v>116</v>
      </c>
      <c r="S26" s="9" t="s">
        <v>6</v>
      </c>
      <c r="T26" s="9" t="s">
        <v>7</v>
      </c>
      <c r="U26" s="9" t="s">
        <v>8</v>
      </c>
      <c r="V26" s="9" t="s">
        <v>9</v>
      </c>
      <c r="W26" s="22">
        <v>45658</v>
      </c>
      <c r="X26" s="22">
        <v>47118</v>
      </c>
    </row>
    <row r="27" spans="1:24" ht="45" x14ac:dyDescent="0.25">
      <c r="A27" s="18">
        <v>24</v>
      </c>
      <c r="B27" s="19" t="s">
        <v>22</v>
      </c>
      <c r="C27" s="18" t="s">
        <v>40</v>
      </c>
      <c r="D27" s="18" t="s">
        <v>1</v>
      </c>
      <c r="E27" s="8" t="s">
        <v>1</v>
      </c>
      <c r="F27" s="18" t="s">
        <v>2</v>
      </c>
      <c r="G27" s="18" t="s">
        <v>3</v>
      </c>
      <c r="H27" s="20" t="s">
        <v>156</v>
      </c>
      <c r="I27" s="10">
        <v>8</v>
      </c>
      <c r="J27" s="10" t="s">
        <v>4</v>
      </c>
      <c r="K27" s="21">
        <f>33.98%*N27</f>
        <v>0.4656490076</v>
      </c>
      <c r="L27" s="21">
        <f>66.01%*N27</f>
        <v>0.90457595620000009</v>
      </c>
      <c r="M27" s="21">
        <f t="shared" si="0"/>
        <v>0</v>
      </c>
      <c r="N27" s="10">
        <v>1.3703620000000001</v>
      </c>
      <c r="O27" s="9" t="s">
        <v>5</v>
      </c>
      <c r="P27" s="9" t="s">
        <v>6</v>
      </c>
      <c r="Q27" s="9">
        <v>5922052829</v>
      </c>
      <c r="R27" s="9" t="s">
        <v>5</v>
      </c>
      <c r="S27" s="9" t="s">
        <v>6</v>
      </c>
      <c r="T27" s="9" t="s">
        <v>7</v>
      </c>
      <c r="U27" s="9" t="s">
        <v>8</v>
      </c>
      <c r="V27" s="9" t="s">
        <v>9</v>
      </c>
      <c r="W27" s="22">
        <v>45658</v>
      </c>
      <c r="X27" s="22">
        <v>47118</v>
      </c>
    </row>
    <row r="28" spans="1:24" ht="45" x14ac:dyDescent="0.25">
      <c r="A28" s="18">
        <v>25</v>
      </c>
      <c r="B28" s="19" t="s">
        <v>41</v>
      </c>
      <c r="C28" s="18" t="s">
        <v>3</v>
      </c>
      <c r="D28" s="18" t="s">
        <v>18</v>
      </c>
      <c r="E28" s="17" t="s">
        <v>239</v>
      </c>
      <c r="F28" s="18" t="s">
        <v>2</v>
      </c>
      <c r="G28" s="18" t="s">
        <v>3</v>
      </c>
      <c r="H28" s="20" t="s">
        <v>157</v>
      </c>
      <c r="I28" s="10">
        <v>7</v>
      </c>
      <c r="J28" s="10" t="s">
        <v>4</v>
      </c>
      <c r="K28" s="21">
        <f>27.6%*N28</f>
        <v>3.0691199999999998</v>
      </c>
      <c r="L28" s="21">
        <f>72.39%*N28</f>
        <v>8.0497679999999985</v>
      </c>
      <c r="M28" s="21">
        <f t="shared" si="0"/>
        <v>0</v>
      </c>
      <c r="N28" s="10">
        <v>11.12</v>
      </c>
      <c r="O28" s="9" t="s">
        <v>116</v>
      </c>
      <c r="P28" s="9" t="s">
        <v>6</v>
      </c>
      <c r="Q28" s="9" t="s">
        <v>117</v>
      </c>
      <c r="R28" s="9" t="s">
        <v>116</v>
      </c>
      <c r="S28" s="9" t="s">
        <v>6</v>
      </c>
      <c r="T28" s="9" t="s">
        <v>7</v>
      </c>
      <c r="U28" s="9" t="s">
        <v>8</v>
      </c>
      <c r="V28" s="9" t="s">
        <v>9</v>
      </c>
      <c r="W28" s="22">
        <v>45658</v>
      </c>
      <c r="X28" s="22">
        <v>47118</v>
      </c>
    </row>
    <row r="29" spans="1:24" ht="45" x14ac:dyDescent="0.25">
      <c r="A29" s="18">
        <v>26</v>
      </c>
      <c r="B29" s="19" t="s">
        <v>101</v>
      </c>
      <c r="C29" s="18" t="s">
        <v>3</v>
      </c>
      <c r="D29" s="18" t="s">
        <v>26</v>
      </c>
      <c r="E29" s="8">
        <v>2</v>
      </c>
      <c r="F29" s="18" t="s">
        <v>2</v>
      </c>
      <c r="G29" s="18" t="s">
        <v>3</v>
      </c>
      <c r="H29" s="20" t="s">
        <v>175</v>
      </c>
      <c r="I29" s="10">
        <v>26</v>
      </c>
      <c r="J29" s="10" t="s">
        <v>4</v>
      </c>
      <c r="K29" s="21">
        <f>36.26%*N29</f>
        <v>6.6885196000000002</v>
      </c>
      <c r="L29" s="21">
        <f>63.73%*N29</f>
        <v>11.7556358</v>
      </c>
      <c r="M29" s="21">
        <f t="shared" si="0"/>
        <v>0</v>
      </c>
      <c r="N29" s="10">
        <v>18.446000000000002</v>
      </c>
      <c r="O29" s="9" t="s">
        <v>5</v>
      </c>
      <c r="P29" s="9" t="s">
        <v>6</v>
      </c>
      <c r="Q29" s="9">
        <v>5922052829</v>
      </c>
      <c r="R29" s="9" t="s">
        <v>5</v>
      </c>
      <c r="S29" s="9" t="s">
        <v>6</v>
      </c>
      <c r="T29" s="9" t="s">
        <v>7</v>
      </c>
      <c r="U29" s="9" t="s">
        <v>8</v>
      </c>
      <c r="V29" s="9" t="s">
        <v>9</v>
      </c>
      <c r="W29" s="22">
        <v>45658</v>
      </c>
      <c r="X29" s="22">
        <v>47118</v>
      </c>
    </row>
    <row r="30" spans="1:24" ht="45" x14ac:dyDescent="0.25">
      <c r="A30" s="18">
        <v>27</v>
      </c>
      <c r="B30" s="19" t="s">
        <v>42</v>
      </c>
      <c r="C30" s="18" t="s">
        <v>11</v>
      </c>
      <c r="D30" s="18" t="s">
        <v>202</v>
      </c>
      <c r="E30" s="8" t="s">
        <v>43</v>
      </c>
      <c r="F30" s="18" t="s">
        <v>13</v>
      </c>
      <c r="G30" s="18" t="s">
        <v>11</v>
      </c>
      <c r="H30" s="20" t="s">
        <v>158</v>
      </c>
      <c r="I30" s="10">
        <v>7</v>
      </c>
      <c r="J30" s="10" t="s">
        <v>4</v>
      </c>
      <c r="K30" s="21">
        <f>29%*N30</f>
        <v>0.23199999999999998</v>
      </c>
      <c r="L30" s="21">
        <f>71%*N30</f>
        <v>0.56799999999999995</v>
      </c>
      <c r="M30" s="21">
        <f t="shared" si="0"/>
        <v>0</v>
      </c>
      <c r="N30" s="10">
        <v>0.8</v>
      </c>
      <c r="O30" s="9" t="s">
        <v>116</v>
      </c>
      <c r="P30" s="9" t="s">
        <v>6</v>
      </c>
      <c r="Q30" s="9" t="s">
        <v>117</v>
      </c>
      <c r="R30" s="9" t="s">
        <v>116</v>
      </c>
      <c r="S30" s="9" t="s">
        <v>6</v>
      </c>
      <c r="T30" s="9" t="s">
        <v>7</v>
      </c>
      <c r="U30" s="9" t="s">
        <v>8</v>
      </c>
      <c r="V30" s="9" t="s">
        <v>9</v>
      </c>
      <c r="W30" s="22">
        <v>45658</v>
      </c>
      <c r="X30" s="22">
        <v>47118</v>
      </c>
    </row>
    <row r="31" spans="1:24" ht="45" x14ac:dyDescent="0.25">
      <c r="A31" s="18">
        <v>28</v>
      </c>
      <c r="B31" s="19" t="s">
        <v>225</v>
      </c>
      <c r="C31" s="18" t="s">
        <v>44</v>
      </c>
      <c r="D31" s="18" t="s">
        <v>97</v>
      </c>
      <c r="E31" s="8">
        <v>15</v>
      </c>
      <c r="F31" s="18" t="s">
        <v>2</v>
      </c>
      <c r="G31" s="18" t="s">
        <v>3</v>
      </c>
      <c r="H31" s="20" t="s">
        <v>159</v>
      </c>
      <c r="I31" s="10">
        <v>7.5</v>
      </c>
      <c r="J31" s="10" t="s">
        <v>4</v>
      </c>
      <c r="K31" s="21">
        <f>44.03%*N31</f>
        <v>0.47992700000000005</v>
      </c>
      <c r="L31" s="21">
        <f>55.96%*N31</f>
        <v>0.60996400000000006</v>
      </c>
      <c r="M31" s="21">
        <f t="shared" si="0"/>
        <v>0</v>
      </c>
      <c r="N31" s="10">
        <v>1.0900000000000001</v>
      </c>
      <c r="O31" s="9" t="s">
        <v>116</v>
      </c>
      <c r="P31" s="9" t="s">
        <v>6</v>
      </c>
      <c r="Q31" s="9" t="s">
        <v>117</v>
      </c>
      <c r="R31" s="9" t="s">
        <v>116</v>
      </c>
      <c r="S31" s="9" t="s">
        <v>6</v>
      </c>
      <c r="T31" s="9" t="s">
        <v>7</v>
      </c>
      <c r="U31" s="9" t="s">
        <v>8</v>
      </c>
      <c r="V31" s="9" t="s">
        <v>9</v>
      </c>
      <c r="W31" s="22">
        <v>45658</v>
      </c>
      <c r="X31" s="22">
        <v>47118</v>
      </c>
    </row>
    <row r="32" spans="1:24" ht="45" x14ac:dyDescent="0.25">
      <c r="A32" s="18">
        <v>29</v>
      </c>
      <c r="B32" s="19" t="s">
        <v>22</v>
      </c>
      <c r="C32" s="18" t="s">
        <v>45</v>
      </c>
      <c r="D32" s="18" t="s">
        <v>1</v>
      </c>
      <c r="E32" s="8" t="s">
        <v>1</v>
      </c>
      <c r="F32" s="18" t="s">
        <v>2</v>
      </c>
      <c r="G32" s="18" t="s">
        <v>3</v>
      </c>
      <c r="H32" s="20" t="s">
        <v>160</v>
      </c>
      <c r="I32" s="10">
        <v>2</v>
      </c>
      <c r="J32" s="10" t="s">
        <v>4</v>
      </c>
      <c r="K32" s="21">
        <f>33.33%*N32</f>
        <v>0.50724093749999999</v>
      </c>
      <c r="L32" s="21">
        <f>66.66%*N32</f>
        <v>1.014481875</v>
      </c>
      <c r="M32" s="21">
        <f t="shared" si="0"/>
        <v>0</v>
      </c>
      <c r="N32" s="10">
        <v>1.5218750000000001</v>
      </c>
      <c r="O32" s="9" t="s">
        <v>5</v>
      </c>
      <c r="P32" s="9" t="s">
        <v>6</v>
      </c>
      <c r="Q32" s="9">
        <v>5922052829</v>
      </c>
      <c r="R32" s="9" t="s">
        <v>5</v>
      </c>
      <c r="S32" s="9" t="s">
        <v>6</v>
      </c>
      <c r="T32" s="9" t="s">
        <v>7</v>
      </c>
      <c r="U32" s="9" t="s">
        <v>8</v>
      </c>
      <c r="V32" s="9" t="s">
        <v>9</v>
      </c>
      <c r="W32" s="22">
        <v>45658</v>
      </c>
      <c r="X32" s="22">
        <v>47118</v>
      </c>
    </row>
    <row r="33" spans="1:24" ht="33.75" x14ac:dyDescent="0.25">
      <c r="A33" s="18">
        <v>31</v>
      </c>
      <c r="B33" s="19" t="s">
        <v>91</v>
      </c>
      <c r="C33" s="18" t="s">
        <v>11</v>
      </c>
      <c r="D33" s="18" t="s">
        <v>92</v>
      </c>
      <c r="E33" s="8">
        <v>3</v>
      </c>
      <c r="F33" s="18" t="s">
        <v>13</v>
      </c>
      <c r="G33" s="18" t="s">
        <v>11</v>
      </c>
      <c r="H33" s="20" t="s">
        <v>174</v>
      </c>
      <c r="I33" s="10">
        <v>20</v>
      </c>
      <c r="J33" s="10" t="s">
        <v>4</v>
      </c>
      <c r="K33" s="21">
        <f>35%*N33</f>
        <v>5.7938999999999989</v>
      </c>
      <c r="L33" s="21">
        <f>65%*N33</f>
        <v>10.7601</v>
      </c>
      <c r="M33" s="21">
        <f t="shared" si="0"/>
        <v>0</v>
      </c>
      <c r="N33" s="10">
        <v>16.553999999999998</v>
      </c>
      <c r="O33" s="9" t="s">
        <v>5</v>
      </c>
      <c r="P33" s="9" t="s">
        <v>6</v>
      </c>
      <c r="Q33" s="9">
        <v>5922052829</v>
      </c>
      <c r="R33" s="9" t="s">
        <v>93</v>
      </c>
      <c r="S33" s="9" t="s">
        <v>94</v>
      </c>
      <c r="T33" s="9" t="s">
        <v>7</v>
      </c>
      <c r="U33" s="9" t="s">
        <v>8</v>
      </c>
      <c r="V33" s="9" t="s">
        <v>9</v>
      </c>
      <c r="W33" s="22">
        <v>45658</v>
      </c>
      <c r="X33" s="22">
        <v>47118</v>
      </c>
    </row>
    <row r="34" spans="1:24" ht="33.75" x14ac:dyDescent="0.25">
      <c r="A34" s="18">
        <v>32</v>
      </c>
      <c r="B34" s="19" t="s">
        <v>95</v>
      </c>
      <c r="C34" s="18" t="s">
        <v>3</v>
      </c>
      <c r="D34" s="18" t="s">
        <v>18</v>
      </c>
      <c r="E34" s="8">
        <v>53</v>
      </c>
      <c r="F34" s="18" t="s">
        <v>2</v>
      </c>
      <c r="G34" s="18" t="s">
        <v>3</v>
      </c>
      <c r="H34" s="20" t="s">
        <v>191</v>
      </c>
      <c r="I34" s="10">
        <v>83</v>
      </c>
      <c r="J34" s="10" t="s">
        <v>96</v>
      </c>
      <c r="K34" s="21">
        <f>35%*N34</f>
        <v>21.319900000000001</v>
      </c>
      <c r="L34" s="21">
        <f>65%*N34</f>
        <v>39.594100000000005</v>
      </c>
      <c r="M34" s="21">
        <f t="shared" si="0"/>
        <v>0</v>
      </c>
      <c r="N34" s="10">
        <v>60.914000000000001</v>
      </c>
      <c r="O34" s="9" t="s">
        <v>5</v>
      </c>
      <c r="P34" s="9" t="s">
        <v>6</v>
      </c>
      <c r="Q34" s="9">
        <v>5922052829</v>
      </c>
      <c r="R34" s="9" t="s">
        <v>93</v>
      </c>
      <c r="S34" s="9" t="s">
        <v>94</v>
      </c>
      <c r="T34" s="9" t="s">
        <v>7</v>
      </c>
      <c r="U34" s="9" t="s">
        <v>8</v>
      </c>
      <c r="V34" s="9" t="s">
        <v>9</v>
      </c>
      <c r="W34" s="22">
        <v>45658</v>
      </c>
      <c r="X34" s="22">
        <v>47118</v>
      </c>
    </row>
    <row r="35" spans="1:24" ht="33.75" x14ac:dyDescent="0.25">
      <c r="A35" s="18">
        <v>30</v>
      </c>
      <c r="B35" s="19" t="s">
        <v>88</v>
      </c>
      <c r="C35" s="18" t="s">
        <v>3</v>
      </c>
      <c r="D35" s="18" t="s">
        <v>18</v>
      </c>
      <c r="E35" s="8">
        <v>18</v>
      </c>
      <c r="F35" s="18" t="s">
        <v>2</v>
      </c>
      <c r="G35" s="18" t="s">
        <v>3</v>
      </c>
      <c r="H35" s="20" t="s">
        <v>185</v>
      </c>
      <c r="I35" s="10">
        <v>14</v>
      </c>
      <c r="J35" s="10" t="s">
        <v>14</v>
      </c>
      <c r="K35" s="21">
        <f>100%*N35</f>
        <v>10.244999999999999</v>
      </c>
      <c r="L35" s="21">
        <f>0%*N35</f>
        <v>0</v>
      </c>
      <c r="M35" s="21">
        <f t="shared" si="0"/>
        <v>0</v>
      </c>
      <c r="N35" s="10">
        <v>10.244999999999999</v>
      </c>
      <c r="O35" s="9" t="s">
        <v>89</v>
      </c>
      <c r="P35" s="9" t="s">
        <v>90</v>
      </c>
      <c r="Q35" s="9" t="s">
        <v>211</v>
      </c>
      <c r="R35" s="9" t="s">
        <v>89</v>
      </c>
      <c r="S35" s="9" t="s">
        <v>90</v>
      </c>
      <c r="T35" s="9" t="s">
        <v>7</v>
      </c>
      <c r="U35" s="9" t="s">
        <v>8</v>
      </c>
      <c r="V35" s="9" t="s">
        <v>9</v>
      </c>
      <c r="W35" s="22">
        <v>45658</v>
      </c>
      <c r="X35" s="22">
        <v>47118</v>
      </c>
    </row>
    <row r="36" spans="1:24" ht="45" x14ac:dyDescent="0.25">
      <c r="A36" s="18">
        <v>33</v>
      </c>
      <c r="B36" s="19" t="s">
        <v>79</v>
      </c>
      <c r="C36" s="18" t="s">
        <v>20</v>
      </c>
      <c r="D36" s="18" t="s">
        <v>1</v>
      </c>
      <c r="E36" s="8" t="s">
        <v>1</v>
      </c>
      <c r="F36" s="18" t="s">
        <v>2</v>
      </c>
      <c r="G36" s="18" t="s">
        <v>3</v>
      </c>
      <c r="H36" s="20" t="s">
        <v>182</v>
      </c>
      <c r="I36" s="10">
        <v>4</v>
      </c>
      <c r="J36" s="10" t="s">
        <v>4</v>
      </c>
      <c r="K36" s="21">
        <f>39.35%*N36</f>
        <v>5.8218974275000006</v>
      </c>
      <c r="L36" s="21">
        <f>60.64%*N36</f>
        <v>8.9717880560000012</v>
      </c>
      <c r="M36" s="21">
        <f t="shared" si="0"/>
        <v>0</v>
      </c>
      <c r="N36" s="10">
        <v>14.795165000000001</v>
      </c>
      <c r="O36" s="9" t="s">
        <v>5</v>
      </c>
      <c r="P36" s="9" t="s">
        <v>6</v>
      </c>
      <c r="Q36" s="9">
        <v>5922052829</v>
      </c>
      <c r="R36" s="9" t="s">
        <v>5</v>
      </c>
      <c r="S36" s="9" t="s">
        <v>6</v>
      </c>
      <c r="T36" s="9" t="s">
        <v>7</v>
      </c>
      <c r="U36" s="9" t="s">
        <v>8</v>
      </c>
      <c r="V36" s="9" t="s">
        <v>9</v>
      </c>
      <c r="W36" s="22">
        <v>45658</v>
      </c>
      <c r="X36" s="22">
        <v>47118</v>
      </c>
    </row>
    <row r="37" spans="1:24" ht="45" x14ac:dyDescent="0.25">
      <c r="A37" s="18">
        <v>34</v>
      </c>
      <c r="B37" s="19" t="s">
        <v>79</v>
      </c>
      <c r="C37" s="18" t="s">
        <v>3</v>
      </c>
      <c r="D37" s="18" t="s">
        <v>1</v>
      </c>
      <c r="E37" s="8" t="s">
        <v>86</v>
      </c>
      <c r="F37" s="18" t="s">
        <v>2</v>
      </c>
      <c r="G37" s="18" t="s">
        <v>3</v>
      </c>
      <c r="H37" s="20" t="s">
        <v>181</v>
      </c>
      <c r="I37" s="10">
        <v>6.5</v>
      </c>
      <c r="J37" s="10" t="s">
        <v>4</v>
      </c>
      <c r="K37" s="21">
        <f>33.33%*N37</f>
        <v>0.75406791900000003</v>
      </c>
      <c r="L37" s="21">
        <f>66.66%*N37</f>
        <v>1.5081358380000001</v>
      </c>
      <c r="M37" s="21">
        <f t="shared" ref="M37:M62" si="1">0%*N37</f>
        <v>0</v>
      </c>
      <c r="N37" s="10">
        <v>2.2624300000000002</v>
      </c>
      <c r="O37" s="9" t="s">
        <v>5</v>
      </c>
      <c r="P37" s="9" t="s">
        <v>6</v>
      </c>
      <c r="Q37" s="9">
        <v>5922052829</v>
      </c>
      <c r="R37" s="9" t="s">
        <v>5</v>
      </c>
      <c r="S37" s="9" t="s">
        <v>6</v>
      </c>
      <c r="T37" s="9" t="s">
        <v>7</v>
      </c>
      <c r="U37" s="9" t="s">
        <v>8</v>
      </c>
      <c r="V37" s="9" t="s">
        <v>9</v>
      </c>
      <c r="W37" s="22">
        <v>45658</v>
      </c>
      <c r="X37" s="22">
        <v>47118</v>
      </c>
    </row>
    <row r="38" spans="1:24" ht="45" x14ac:dyDescent="0.25">
      <c r="A38" s="18">
        <v>35</v>
      </c>
      <c r="B38" s="19" t="s">
        <v>79</v>
      </c>
      <c r="C38" s="18" t="s">
        <v>0</v>
      </c>
      <c r="D38" s="18" t="s">
        <v>1</v>
      </c>
      <c r="E38" s="8" t="s">
        <v>87</v>
      </c>
      <c r="F38" s="18" t="s">
        <v>2</v>
      </c>
      <c r="G38" s="18" t="s">
        <v>3</v>
      </c>
      <c r="H38" s="20" t="s">
        <v>180</v>
      </c>
      <c r="I38" s="10">
        <v>6.5</v>
      </c>
      <c r="J38" s="10" t="s">
        <v>4</v>
      </c>
      <c r="K38" s="21">
        <f>26.49%*N38</f>
        <v>0.42018808859999995</v>
      </c>
      <c r="L38" s="21">
        <f>73.5%*N38</f>
        <v>1.16586729</v>
      </c>
      <c r="M38" s="21">
        <f t="shared" si="1"/>
        <v>0</v>
      </c>
      <c r="N38" s="10">
        <v>1.586214</v>
      </c>
      <c r="O38" s="9" t="s">
        <v>5</v>
      </c>
      <c r="P38" s="9" t="s">
        <v>6</v>
      </c>
      <c r="Q38" s="9">
        <v>5922052829</v>
      </c>
      <c r="R38" s="9" t="s">
        <v>5</v>
      </c>
      <c r="S38" s="9" t="s">
        <v>6</v>
      </c>
      <c r="T38" s="9" t="s">
        <v>7</v>
      </c>
      <c r="U38" s="9" t="s">
        <v>8</v>
      </c>
      <c r="V38" s="9" t="s">
        <v>9</v>
      </c>
      <c r="W38" s="22">
        <v>45658</v>
      </c>
      <c r="X38" s="22">
        <v>47118</v>
      </c>
    </row>
    <row r="39" spans="1:24" ht="45" x14ac:dyDescent="0.25">
      <c r="A39" s="18">
        <v>36</v>
      </c>
      <c r="B39" s="19" t="s">
        <v>79</v>
      </c>
      <c r="C39" s="18" t="s">
        <v>82</v>
      </c>
      <c r="D39" s="18" t="s">
        <v>1</v>
      </c>
      <c r="E39" s="8" t="s">
        <v>83</v>
      </c>
      <c r="F39" s="18" t="s">
        <v>2</v>
      </c>
      <c r="G39" s="18" t="s">
        <v>3</v>
      </c>
      <c r="H39" s="20" t="s">
        <v>178</v>
      </c>
      <c r="I39" s="10">
        <v>6.5</v>
      </c>
      <c r="J39" s="10" t="s">
        <v>81</v>
      </c>
      <c r="K39" s="21">
        <f>38.46%*N39</f>
        <v>0.17105046539999999</v>
      </c>
      <c r="L39" s="21">
        <f>61.54%*N39</f>
        <v>0.27369853459999999</v>
      </c>
      <c r="M39" s="21">
        <f t="shared" si="1"/>
        <v>0</v>
      </c>
      <c r="N39" s="10">
        <v>0.44474900000000001</v>
      </c>
      <c r="O39" s="9" t="s">
        <v>5</v>
      </c>
      <c r="P39" s="9" t="s">
        <v>6</v>
      </c>
      <c r="Q39" s="9">
        <v>5922052829</v>
      </c>
      <c r="R39" s="9" t="s">
        <v>5</v>
      </c>
      <c r="S39" s="9" t="s">
        <v>6</v>
      </c>
      <c r="T39" s="9" t="s">
        <v>7</v>
      </c>
      <c r="U39" s="9" t="s">
        <v>8</v>
      </c>
      <c r="V39" s="9" t="s">
        <v>9</v>
      </c>
      <c r="W39" s="22">
        <v>45658</v>
      </c>
      <c r="X39" s="22">
        <v>47118</v>
      </c>
    </row>
    <row r="40" spans="1:24" ht="45" x14ac:dyDescent="0.25">
      <c r="A40" s="18">
        <v>37</v>
      </c>
      <c r="B40" s="19" t="s">
        <v>79</v>
      </c>
      <c r="C40" s="18" t="s">
        <v>84</v>
      </c>
      <c r="D40" s="18" t="s">
        <v>1</v>
      </c>
      <c r="E40" s="8" t="s">
        <v>85</v>
      </c>
      <c r="F40" s="18" t="s">
        <v>2</v>
      </c>
      <c r="G40" s="18" t="s">
        <v>3</v>
      </c>
      <c r="H40" s="20" t="s">
        <v>179</v>
      </c>
      <c r="I40" s="10">
        <v>6.5</v>
      </c>
      <c r="J40" s="10" t="s">
        <v>81</v>
      </c>
      <c r="K40" s="21">
        <f>39.02%*N40</f>
        <v>0.51849776000000003</v>
      </c>
      <c r="L40" s="21">
        <f>60.97%*N40</f>
        <v>0.81016936000000006</v>
      </c>
      <c r="M40" s="21">
        <f t="shared" si="1"/>
        <v>0</v>
      </c>
      <c r="N40" s="10">
        <v>1.3288</v>
      </c>
      <c r="O40" s="9" t="s">
        <v>5</v>
      </c>
      <c r="P40" s="9" t="s">
        <v>6</v>
      </c>
      <c r="Q40" s="9">
        <v>5922052829</v>
      </c>
      <c r="R40" s="9" t="s">
        <v>5</v>
      </c>
      <c r="S40" s="9" t="s">
        <v>6</v>
      </c>
      <c r="T40" s="9" t="s">
        <v>7</v>
      </c>
      <c r="U40" s="9" t="s">
        <v>8</v>
      </c>
      <c r="V40" s="9" t="s">
        <v>9</v>
      </c>
      <c r="W40" s="22">
        <v>45658</v>
      </c>
      <c r="X40" s="22">
        <v>47118</v>
      </c>
    </row>
    <row r="41" spans="1:24" ht="45" x14ac:dyDescent="0.25">
      <c r="A41" s="18">
        <v>38</v>
      </c>
      <c r="B41" s="19" t="s">
        <v>79</v>
      </c>
      <c r="C41" s="18" t="s">
        <v>80</v>
      </c>
      <c r="D41" s="18" t="s">
        <v>1</v>
      </c>
      <c r="E41" s="8" t="s">
        <v>37</v>
      </c>
      <c r="F41" s="18" t="s">
        <v>2</v>
      </c>
      <c r="G41" s="18" t="s">
        <v>3</v>
      </c>
      <c r="H41" s="20" t="s">
        <v>177</v>
      </c>
      <c r="I41" s="10">
        <v>6.5</v>
      </c>
      <c r="J41" s="10" t="s">
        <v>81</v>
      </c>
      <c r="K41" s="21">
        <f>38.46%*N41</f>
        <v>0.17487531239999998</v>
      </c>
      <c r="L41" s="21">
        <f>61.54%*N41</f>
        <v>0.27981868759999995</v>
      </c>
      <c r="M41" s="21">
        <f t="shared" si="1"/>
        <v>0</v>
      </c>
      <c r="N41" s="10">
        <v>0.45469399999999999</v>
      </c>
      <c r="O41" s="9" t="s">
        <v>5</v>
      </c>
      <c r="P41" s="9" t="s">
        <v>6</v>
      </c>
      <c r="Q41" s="9">
        <v>5922052829</v>
      </c>
      <c r="R41" s="9" t="s">
        <v>5</v>
      </c>
      <c r="S41" s="9" t="s">
        <v>6</v>
      </c>
      <c r="T41" s="9" t="s">
        <v>7</v>
      </c>
      <c r="U41" s="9" t="s">
        <v>8</v>
      </c>
      <c r="V41" s="9" t="s">
        <v>9</v>
      </c>
      <c r="W41" s="22">
        <v>45658</v>
      </c>
      <c r="X41" s="22">
        <v>47118</v>
      </c>
    </row>
    <row r="42" spans="1:24" ht="45" x14ac:dyDescent="0.25">
      <c r="A42" s="18">
        <v>39</v>
      </c>
      <c r="B42" s="19" t="s">
        <v>54</v>
      </c>
      <c r="C42" s="18" t="s">
        <v>230</v>
      </c>
      <c r="D42" s="18" t="s">
        <v>55</v>
      </c>
      <c r="E42" s="8" t="s">
        <v>56</v>
      </c>
      <c r="F42" s="18" t="s">
        <v>2</v>
      </c>
      <c r="G42" s="18" t="s">
        <v>3</v>
      </c>
      <c r="H42" s="20" t="s">
        <v>184</v>
      </c>
      <c r="I42" s="10">
        <v>4</v>
      </c>
      <c r="J42" s="10" t="s">
        <v>4</v>
      </c>
      <c r="K42" s="21">
        <f>32.73%*N42</f>
        <v>1.0473600000000001</v>
      </c>
      <c r="L42" s="21">
        <f>67.26%*N42</f>
        <v>2.1523200000000005</v>
      </c>
      <c r="M42" s="21">
        <f t="shared" si="1"/>
        <v>0</v>
      </c>
      <c r="N42" s="10">
        <v>3.2</v>
      </c>
      <c r="O42" s="9" t="s">
        <v>116</v>
      </c>
      <c r="P42" s="9" t="s">
        <v>6</v>
      </c>
      <c r="Q42" s="9" t="s">
        <v>117</v>
      </c>
      <c r="R42" s="9" t="s">
        <v>116</v>
      </c>
      <c r="S42" s="9" t="s">
        <v>6</v>
      </c>
      <c r="T42" s="9" t="s">
        <v>7</v>
      </c>
      <c r="U42" s="9" t="s">
        <v>8</v>
      </c>
      <c r="V42" s="9" t="s">
        <v>9</v>
      </c>
      <c r="W42" s="22">
        <v>45658</v>
      </c>
      <c r="X42" s="22">
        <v>47118</v>
      </c>
    </row>
    <row r="43" spans="1:24" ht="45" x14ac:dyDescent="0.25">
      <c r="A43" s="18">
        <v>40</v>
      </c>
      <c r="B43" s="19" t="s">
        <v>48</v>
      </c>
      <c r="C43" s="18" t="s">
        <v>40</v>
      </c>
      <c r="D43" s="24" t="s">
        <v>204</v>
      </c>
      <c r="E43" s="8" t="s">
        <v>49</v>
      </c>
      <c r="F43" s="18" t="s">
        <v>2</v>
      </c>
      <c r="G43" s="18" t="s">
        <v>3</v>
      </c>
      <c r="H43" s="20" t="s">
        <v>166</v>
      </c>
      <c r="I43" s="10">
        <v>4</v>
      </c>
      <c r="J43" s="10" t="s">
        <v>4</v>
      </c>
      <c r="K43" s="21">
        <f>41.49%*N43</f>
        <v>1.568322</v>
      </c>
      <c r="L43" s="21">
        <f>58.51%*N43</f>
        <v>2.2116779999999996</v>
      </c>
      <c r="M43" s="21">
        <f t="shared" si="1"/>
        <v>0</v>
      </c>
      <c r="N43" s="10">
        <v>3.78</v>
      </c>
      <c r="O43" s="9" t="s">
        <v>116</v>
      </c>
      <c r="P43" s="9" t="s">
        <v>6</v>
      </c>
      <c r="Q43" s="9" t="s">
        <v>117</v>
      </c>
      <c r="R43" s="9" t="s">
        <v>116</v>
      </c>
      <c r="S43" s="9" t="s">
        <v>6</v>
      </c>
      <c r="T43" s="9" t="s">
        <v>7</v>
      </c>
      <c r="U43" s="9" t="s">
        <v>8</v>
      </c>
      <c r="V43" s="9" t="s">
        <v>9</v>
      </c>
      <c r="W43" s="22">
        <v>45658</v>
      </c>
      <c r="X43" s="22">
        <v>47118</v>
      </c>
    </row>
    <row r="44" spans="1:24" ht="45" x14ac:dyDescent="0.25">
      <c r="A44" s="18">
        <v>41</v>
      </c>
      <c r="B44" s="19" t="s">
        <v>46</v>
      </c>
      <c r="C44" s="19" t="s">
        <v>20</v>
      </c>
      <c r="D44" s="18" t="s">
        <v>203</v>
      </c>
      <c r="E44" s="8" t="s">
        <v>47</v>
      </c>
      <c r="F44" s="18" t="s">
        <v>2</v>
      </c>
      <c r="G44" s="18" t="s">
        <v>3</v>
      </c>
      <c r="H44" s="20" t="s">
        <v>171</v>
      </c>
      <c r="I44" s="10">
        <v>4</v>
      </c>
      <c r="J44" s="10" t="s">
        <v>4</v>
      </c>
      <c r="K44" s="21">
        <f>30%*N44</f>
        <v>0.22799999999999998</v>
      </c>
      <c r="L44" s="21">
        <f>70%*N44</f>
        <v>0.53199999999999992</v>
      </c>
      <c r="M44" s="21">
        <f t="shared" si="1"/>
        <v>0</v>
      </c>
      <c r="N44" s="10">
        <v>0.76</v>
      </c>
      <c r="O44" s="9" t="s">
        <v>116</v>
      </c>
      <c r="P44" s="9" t="s">
        <v>6</v>
      </c>
      <c r="Q44" s="9" t="s">
        <v>117</v>
      </c>
      <c r="R44" s="9" t="s">
        <v>116</v>
      </c>
      <c r="S44" s="9" t="s">
        <v>6</v>
      </c>
      <c r="T44" s="9" t="s">
        <v>7</v>
      </c>
      <c r="U44" s="9" t="s">
        <v>8</v>
      </c>
      <c r="V44" s="9" t="s">
        <v>9</v>
      </c>
      <c r="W44" s="22">
        <v>45658</v>
      </c>
      <c r="X44" s="22">
        <v>47118</v>
      </c>
    </row>
    <row r="45" spans="1:24" ht="45" x14ac:dyDescent="0.25">
      <c r="A45" s="18">
        <v>42</v>
      </c>
      <c r="B45" s="19" t="s">
        <v>52</v>
      </c>
      <c r="C45" s="18" t="s">
        <v>40</v>
      </c>
      <c r="D45" s="19" t="s">
        <v>205</v>
      </c>
      <c r="E45" s="8" t="s">
        <v>53</v>
      </c>
      <c r="F45" s="18" t="s">
        <v>2</v>
      </c>
      <c r="G45" s="18" t="s">
        <v>3</v>
      </c>
      <c r="H45" s="20" t="s">
        <v>167</v>
      </c>
      <c r="I45" s="10">
        <v>6</v>
      </c>
      <c r="J45" s="10" t="s">
        <v>4</v>
      </c>
      <c r="K45" s="21">
        <f>30%*N45</f>
        <v>0.3</v>
      </c>
      <c r="L45" s="21">
        <f>70%*N45</f>
        <v>0.7</v>
      </c>
      <c r="M45" s="21">
        <f t="shared" si="1"/>
        <v>0</v>
      </c>
      <c r="N45" s="10">
        <v>1</v>
      </c>
      <c r="O45" s="9" t="s">
        <v>116</v>
      </c>
      <c r="P45" s="9" t="s">
        <v>6</v>
      </c>
      <c r="Q45" s="9" t="s">
        <v>117</v>
      </c>
      <c r="R45" s="9" t="s">
        <v>116</v>
      </c>
      <c r="S45" s="9" t="s">
        <v>6</v>
      </c>
      <c r="T45" s="9" t="s">
        <v>7</v>
      </c>
      <c r="U45" s="9" t="s">
        <v>8</v>
      </c>
      <c r="V45" s="9" t="s">
        <v>9</v>
      </c>
      <c r="W45" s="22">
        <v>45658</v>
      </c>
      <c r="X45" s="22">
        <v>47118</v>
      </c>
    </row>
    <row r="46" spans="1:24" ht="45" x14ac:dyDescent="0.25">
      <c r="A46" s="18">
        <v>43</v>
      </c>
      <c r="B46" s="19" t="s">
        <v>50</v>
      </c>
      <c r="C46" s="18" t="s">
        <v>40</v>
      </c>
      <c r="D46" s="24" t="s">
        <v>204</v>
      </c>
      <c r="E46" s="8" t="s">
        <v>51</v>
      </c>
      <c r="F46" s="18" t="s">
        <v>2</v>
      </c>
      <c r="G46" s="18" t="s">
        <v>3</v>
      </c>
      <c r="H46" s="20" t="s">
        <v>170</v>
      </c>
      <c r="I46" s="10">
        <v>4</v>
      </c>
      <c r="J46" s="10" t="s">
        <v>4</v>
      </c>
      <c r="K46" s="21">
        <f>30%*N46</f>
        <v>0.26400000000000001</v>
      </c>
      <c r="L46" s="21">
        <f>70%*N46</f>
        <v>0.61599999999999999</v>
      </c>
      <c r="M46" s="21">
        <f t="shared" si="1"/>
        <v>0</v>
      </c>
      <c r="N46" s="10">
        <v>0.88</v>
      </c>
      <c r="O46" s="9" t="s">
        <v>116</v>
      </c>
      <c r="P46" s="9" t="s">
        <v>6</v>
      </c>
      <c r="Q46" s="9" t="s">
        <v>117</v>
      </c>
      <c r="R46" s="9" t="s">
        <v>116</v>
      </c>
      <c r="S46" s="9" t="s">
        <v>6</v>
      </c>
      <c r="T46" s="9" t="s">
        <v>7</v>
      </c>
      <c r="U46" s="9" t="s">
        <v>8</v>
      </c>
      <c r="V46" s="9" t="s">
        <v>9</v>
      </c>
      <c r="W46" s="22">
        <v>45658</v>
      </c>
      <c r="X46" s="22">
        <v>47118</v>
      </c>
    </row>
    <row r="47" spans="1:24" ht="45" x14ac:dyDescent="0.25">
      <c r="A47" s="18">
        <v>44</v>
      </c>
      <c r="B47" s="19" t="s">
        <v>186</v>
      </c>
      <c r="C47" s="18" t="s">
        <v>11</v>
      </c>
      <c r="D47" s="18" t="s">
        <v>16</v>
      </c>
      <c r="E47" s="8">
        <v>10</v>
      </c>
      <c r="F47" s="18" t="s">
        <v>13</v>
      </c>
      <c r="G47" s="18" t="s">
        <v>11</v>
      </c>
      <c r="H47" s="20" t="s">
        <v>187</v>
      </c>
      <c r="I47" s="10">
        <v>10</v>
      </c>
      <c r="J47" s="10" t="s">
        <v>4</v>
      </c>
      <c r="K47" s="21">
        <f>50%*N47</f>
        <v>7.4360315000000003</v>
      </c>
      <c r="L47" s="21">
        <f>50%*N47</f>
        <v>7.4360315000000003</v>
      </c>
      <c r="M47" s="21">
        <f t="shared" si="1"/>
        <v>0</v>
      </c>
      <c r="N47" s="10">
        <v>14.872063000000001</v>
      </c>
      <c r="O47" s="9" t="s">
        <v>5</v>
      </c>
      <c r="P47" s="9" t="s">
        <v>6</v>
      </c>
      <c r="Q47" s="9">
        <v>5922052829</v>
      </c>
      <c r="R47" s="9" t="s">
        <v>5</v>
      </c>
      <c r="S47" s="9" t="s">
        <v>6</v>
      </c>
      <c r="T47" s="9" t="s">
        <v>7</v>
      </c>
      <c r="U47" s="9" t="s">
        <v>8</v>
      </c>
      <c r="V47" s="9" t="s">
        <v>9</v>
      </c>
      <c r="W47" s="22">
        <v>45658</v>
      </c>
      <c r="X47" s="22">
        <v>47118</v>
      </c>
    </row>
    <row r="48" spans="1:24" ht="45" x14ac:dyDescent="0.25">
      <c r="A48" s="18">
        <v>45</v>
      </c>
      <c r="B48" s="19" t="s">
        <v>102</v>
      </c>
      <c r="C48" s="18" t="s">
        <v>11</v>
      </c>
      <c r="D48" s="18" t="s">
        <v>1</v>
      </c>
      <c r="E48" s="8" t="s">
        <v>103</v>
      </c>
      <c r="F48" s="18" t="s">
        <v>13</v>
      </c>
      <c r="G48" s="18" t="s">
        <v>11</v>
      </c>
      <c r="H48" s="20" t="s">
        <v>161</v>
      </c>
      <c r="I48" s="10">
        <v>17</v>
      </c>
      <c r="J48" s="10" t="s">
        <v>4</v>
      </c>
      <c r="K48" s="21">
        <f>27.02%*N48</f>
        <v>2.2583316</v>
      </c>
      <c r="L48" s="21">
        <f>72.97%*N48</f>
        <v>6.0988326000000006</v>
      </c>
      <c r="M48" s="21">
        <f t="shared" si="1"/>
        <v>0</v>
      </c>
      <c r="N48" s="10">
        <v>8.3580000000000005</v>
      </c>
      <c r="O48" s="9" t="s">
        <v>5</v>
      </c>
      <c r="P48" s="9" t="s">
        <v>6</v>
      </c>
      <c r="Q48" s="9">
        <v>5922052829</v>
      </c>
      <c r="R48" s="9" t="s">
        <v>5</v>
      </c>
      <c r="S48" s="9" t="s">
        <v>6</v>
      </c>
      <c r="T48" s="9" t="s">
        <v>7</v>
      </c>
      <c r="U48" s="9" t="s">
        <v>8</v>
      </c>
      <c r="V48" s="9" t="s">
        <v>9</v>
      </c>
      <c r="W48" s="22">
        <v>45658</v>
      </c>
      <c r="X48" s="22">
        <v>47118</v>
      </c>
    </row>
    <row r="49" spans="1:24" ht="45" x14ac:dyDescent="0.25">
      <c r="A49" s="18">
        <v>46</v>
      </c>
      <c r="B49" s="19" t="s">
        <v>69</v>
      </c>
      <c r="C49" s="18" t="s">
        <v>23</v>
      </c>
      <c r="D49" s="18" t="s">
        <v>58</v>
      </c>
      <c r="E49" s="8" t="s">
        <v>70</v>
      </c>
      <c r="F49" s="18" t="s">
        <v>13</v>
      </c>
      <c r="G49" s="18" t="s">
        <v>11</v>
      </c>
      <c r="H49" s="20" t="s">
        <v>183</v>
      </c>
      <c r="I49" s="10">
        <v>7</v>
      </c>
      <c r="J49" s="10" t="s">
        <v>4</v>
      </c>
      <c r="K49" s="21">
        <f>34.64%*N49</f>
        <v>0.595808</v>
      </c>
      <c r="L49" s="21">
        <f>65.35%*N49</f>
        <v>1.12402</v>
      </c>
      <c r="M49" s="21">
        <f t="shared" si="1"/>
        <v>0</v>
      </c>
      <c r="N49" s="10">
        <v>1.72</v>
      </c>
      <c r="O49" s="9" t="s">
        <v>116</v>
      </c>
      <c r="P49" s="9" t="s">
        <v>6</v>
      </c>
      <c r="Q49" s="9" t="s">
        <v>117</v>
      </c>
      <c r="R49" s="9" t="s">
        <v>116</v>
      </c>
      <c r="S49" s="9" t="s">
        <v>6</v>
      </c>
      <c r="T49" s="9" t="s">
        <v>7</v>
      </c>
      <c r="U49" s="9" t="s">
        <v>8</v>
      </c>
      <c r="V49" s="9" t="s">
        <v>9</v>
      </c>
      <c r="W49" s="22">
        <v>45658</v>
      </c>
      <c r="X49" s="22">
        <v>47118</v>
      </c>
    </row>
    <row r="50" spans="1:24" ht="45" x14ac:dyDescent="0.25">
      <c r="A50" s="18">
        <v>47</v>
      </c>
      <c r="B50" s="19" t="s">
        <v>67</v>
      </c>
      <c r="C50" s="18" t="s">
        <v>23</v>
      </c>
      <c r="D50" s="18" t="s">
        <v>58</v>
      </c>
      <c r="E50" s="8" t="s">
        <v>68</v>
      </c>
      <c r="F50" s="18" t="s">
        <v>13</v>
      </c>
      <c r="G50" s="18" t="s">
        <v>11</v>
      </c>
      <c r="H50" s="20" t="s">
        <v>168</v>
      </c>
      <c r="I50" s="10">
        <v>7</v>
      </c>
      <c r="J50" s="10" t="s">
        <v>4</v>
      </c>
      <c r="K50" s="21">
        <f>43.93%*N50</f>
        <v>0.57987600000000006</v>
      </c>
      <c r="L50" s="21">
        <f>56.06%*N50</f>
        <v>0.73999199999999998</v>
      </c>
      <c r="M50" s="21">
        <f t="shared" si="1"/>
        <v>0</v>
      </c>
      <c r="N50" s="10">
        <v>1.32</v>
      </c>
      <c r="O50" s="9" t="s">
        <v>116</v>
      </c>
      <c r="P50" s="9" t="s">
        <v>6</v>
      </c>
      <c r="Q50" s="9" t="s">
        <v>117</v>
      </c>
      <c r="R50" s="9" t="s">
        <v>116</v>
      </c>
      <c r="S50" s="9" t="s">
        <v>6</v>
      </c>
      <c r="T50" s="9" t="s">
        <v>7</v>
      </c>
      <c r="U50" s="9" t="s">
        <v>8</v>
      </c>
      <c r="V50" s="9" t="s">
        <v>9</v>
      </c>
      <c r="W50" s="22">
        <v>45658</v>
      </c>
      <c r="X50" s="22">
        <v>47118</v>
      </c>
    </row>
    <row r="51" spans="1:24" ht="45" x14ac:dyDescent="0.25">
      <c r="A51" s="18">
        <v>48</v>
      </c>
      <c r="B51" s="19" t="s">
        <v>57</v>
      </c>
      <c r="C51" s="18" t="s">
        <v>23</v>
      </c>
      <c r="D51" s="18" t="s">
        <v>58</v>
      </c>
      <c r="E51" s="8" t="s">
        <v>59</v>
      </c>
      <c r="F51" s="18" t="s">
        <v>13</v>
      </c>
      <c r="G51" s="18" t="s">
        <v>11</v>
      </c>
      <c r="H51" s="25" t="s">
        <v>209</v>
      </c>
      <c r="I51" s="10">
        <v>7</v>
      </c>
      <c r="J51" s="10" t="s">
        <v>4</v>
      </c>
      <c r="K51" s="21">
        <f>47.64%*N51</f>
        <v>1.8198479999999999</v>
      </c>
      <c r="L51" s="21">
        <f>52.35%*N51</f>
        <v>1.9997699999999998</v>
      </c>
      <c r="M51" s="21">
        <f t="shared" si="1"/>
        <v>0</v>
      </c>
      <c r="N51" s="10">
        <v>3.82</v>
      </c>
      <c r="O51" s="9" t="s">
        <v>116</v>
      </c>
      <c r="P51" s="9" t="s">
        <v>6</v>
      </c>
      <c r="Q51" s="9" t="s">
        <v>117</v>
      </c>
      <c r="R51" s="9" t="s">
        <v>116</v>
      </c>
      <c r="S51" s="9" t="s">
        <v>6</v>
      </c>
      <c r="T51" s="9" t="s">
        <v>7</v>
      </c>
      <c r="U51" s="9" t="s">
        <v>8</v>
      </c>
      <c r="V51" s="9" t="s">
        <v>9</v>
      </c>
      <c r="W51" s="22">
        <v>45658</v>
      </c>
      <c r="X51" s="22">
        <v>47118</v>
      </c>
    </row>
    <row r="52" spans="1:24" ht="45" x14ac:dyDescent="0.25">
      <c r="A52" s="18">
        <v>49</v>
      </c>
      <c r="B52" s="19" t="s">
        <v>63</v>
      </c>
      <c r="C52" s="18" t="s">
        <v>0</v>
      </c>
      <c r="D52" s="18" t="s">
        <v>1</v>
      </c>
      <c r="E52" s="8" t="s">
        <v>64</v>
      </c>
      <c r="F52" s="18" t="s">
        <v>2</v>
      </c>
      <c r="G52" s="18" t="s">
        <v>3</v>
      </c>
      <c r="H52" s="20" t="s">
        <v>162</v>
      </c>
      <c r="I52" s="10">
        <v>7</v>
      </c>
      <c r="J52" s="10" t="s">
        <v>4</v>
      </c>
      <c r="K52" s="21">
        <f>49.1%*N52</f>
        <v>1.26678</v>
      </c>
      <c r="L52" s="21">
        <f>50.9%*N52</f>
        <v>1.3132200000000001</v>
      </c>
      <c r="M52" s="21">
        <f t="shared" si="1"/>
        <v>0</v>
      </c>
      <c r="N52" s="10">
        <v>2.58</v>
      </c>
      <c r="O52" s="9" t="s">
        <v>116</v>
      </c>
      <c r="P52" s="9" t="s">
        <v>6</v>
      </c>
      <c r="Q52" s="9" t="s">
        <v>117</v>
      </c>
      <c r="R52" s="9" t="s">
        <v>116</v>
      </c>
      <c r="S52" s="9" t="s">
        <v>6</v>
      </c>
      <c r="T52" s="9" t="s">
        <v>7</v>
      </c>
      <c r="U52" s="9" t="s">
        <v>8</v>
      </c>
      <c r="V52" s="9" t="s">
        <v>9</v>
      </c>
      <c r="W52" s="22">
        <v>45658</v>
      </c>
      <c r="X52" s="22">
        <v>47118</v>
      </c>
    </row>
    <row r="53" spans="1:24" ht="45" x14ac:dyDescent="0.25">
      <c r="A53" s="18">
        <v>50</v>
      </c>
      <c r="B53" s="19" t="s">
        <v>65</v>
      </c>
      <c r="C53" s="18" t="s">
        <v>0</v>
      </c>
      <c r="D53" s="18" t="s">
        <v>1</v>
      </c>
      <c r="E53" s="8" t="s">
        <v>66</v>
      </c>
      <c r="F53" s="18" t="s">
        <v>2</v>
      </c>
      <c r="G53" s="18" t="s">
        <v>3</v>
      </c>
      <c r="H53" s="20" t="s">
        <v>163</v>
      </c>
      <c r="I53" s="10">
        <v>4</v>
      </c>
      <c r="J53" s="10" t="s">
        <v>4</v>
      </c>
      <c r="K53" s="21">
        <f>34.02%*N53</f>
        <v>0.48988800000000005</v>
      </c>
      <c r="L53" s="21">
        <f>65.98%*N53</f>
        <v>0.95011200000000007</v>
      </c>
      <c r="M53" s="21">
        <f t="shared" si="1"/>
        <v>0</v>
      </c>
      <c r="N53" s="10">
        <v>1.44</v>
      </c>
      <c r="O53" s="9" t="s">
        <v>116</v>
      </c>
      <c r="P53" s="9" t="s">
        <v>6</v>
      </c>
      <c r="Q53" s="9" t="s">
        <v>117</v>
      </c>
      <c r="R53" s="9" t="s">
        <v>116</v>
      </c>
      <c r="S53" s="9" t="s">
        <v>6</v>
      </c>
      <c r="T53" s="9" t="s">
        <v>7</v>
      </c>
      <c r="U53" s="9" t="s">
        <v>8</v>
      </c>
      <c r="V53" s="9" t="s">
        <v>9</v>
      </c>
      <c r="W53" s="22">
        <v>45658</v>
      </c>
      <c r="X53" s="22">
        <v>47118</v>
      </c>
    </row>
    <row r="54" spans="1:24" ht="45" x14ac:dyDescent="0.25">
      <c r="A54" s="18">
        <v>51</v>
      </c>
      <c r="B54" s="19" t="s">
        <v>71</v>
      </c>
      <c r="C54" s="18" t="s">
        <v>3</v>
      </c>
      <c r="D54" s="18" t="s">
        <v>72</v>
      </c>
      <c r="E54" s="8" t="s">
        <v>73</v>
      </c>
      <c r="F54" s="18" t="s">
        <v>2</v>
      </c>
      <c r="G54" s="18" t="s">
        <v>3</v>
      </c>
      <c r="H54" s="20" t="s">
        <v>164</v>
      </c>
      <c r="I54" s="10">
        <v>16</v>
      </c>
      <c r="J54" s="10" t="s">
        <v>4</v>
      </c>
      <c r="K54" s="21">
        <f>39.5%*N54</f>
        <v>3.1827926850000003</v>
      </c>
      <c r="L54" s="21">
        <f>60.5%*N54</f>
        <v>4.8749103150000002</v>
      </c>
      <c r="M54" s="21">
        <f t="shared" si="1"/>
        <v>0</v>
      </c>
      <c r="N54" s="10">
        <v>8.0577030000000001</v>
      </c>
      <c r="O54" s="9" t="s">
        <v>5</v>
      </c>
      <c r="P54" s="9" t="s">
        <v>6</v>
      </c>
      <c r="Q54" s="9">
        <v>5922052829</v>
      </c>
      <c r="R54" s="9" t="s">
        <v>5</v>
      </c>
      <c r="S54" s="9" t="s">
        <v>6</v>
      </c>
      <c r="T54" s="9" t="s">
        <v>7</v>
      </c>
      <c r="U54" s="9" t="s">
        <v>8</v>
      </c>
      <c r="V54" s="9" t="s">
        <v>9</v>
      </c>
      <c r="W54" s="22">
        <v>45658</v>
      </c>
      <c r="X54" s="22">
        <v>47118</v>
      </c>
    </row>
    <row r="55" spans="1:24" ht="45" x14ac:dyDescent="0.25">
      <c r="A55" s="18">
        <v>52</v>
      </c>
      <c r="B55" s="19" t="s">
        <v>74</v>
      </c>
      <c r="C55" s="18" t="s">
        <v>3</v>
      </c>
      <c r="D55" s="18" t="s">
        <v>72</v>
      </c>
      <c r="E55" s="8" t="s">
        <v>75</v>
      </c>
      <c r="F55" s="18" t="s">
        <v>2</v>
      </c>
      <c r="G55" s="18" t="s">
        <v>3</v>
      </c>
      <c r="H55" s="20" t="s">
        <v>165</v>
      </c>
      <c r="I55" s="10">
        <v>16</v>
      </c>
      <c r="J55" s="10" t="s">
        <v>4</v>
      </c>
      <c r="K55" s="21">
        <f>46.04%*N55</f>
        <v>3.8904858919999996</v>
      </c>
      <c r="L55" s="21">
        <f>53.95%*N55</f>
        <v>4.5588990849999993</v>
      </c>
      <c r="M55" s="21">
        <f t="shared" si="1"/>
        <v>0</v>
      </c>
      <c r="N55" s="10">
        <v>8.4502299999999995</v>
      </c>
      <c r="O55" s="9" t="s">
        <v>5</v>
      </c>
      <c r="P55" s="9" t="s">
        <v>6</v>
      </c>
      <c r="Q55" s="9">
        <v>5922052829</v>
      </c>
      <c r="R55" s="9" t="s">
        <v>5</v>
      </c>
      <c r="S55" s="9" t="s">
        <v>6</v>
      </c>
      <c r="T55" s="9" t="s">
        <v>7</v>
      </c>
      <c r="U55" s="9" t="s">
        <v>8</v>
      </c>
      <c r="V55" s="9" t="s">
        <v>9</v>
      </c>
      <c r="W55" s="22">
        <v>45658</v>
      </c>
      <c r="X55" s="22">
        <v>47118</v>
      </c>
    </row>
    <row r="56" spans="1:24" ht="45" x14ac:dyDescent="0.25">
      <c r="A56" s="18">
        <v>53</v>
      </c>
      <c r="B56" s="19" t="s">
        <v>60</v>
      </c>
      <c r="C56" s="18" t="s">
        <v>3</v>
      </c>
      <c r="D56" s="18" t="s">
        <v>61</v>
      </c>
      <c r="E56" s="8">
        <v>40</v>
      </c>
      <c r="F56" s="18" t="s">
        <v>2</v>
      </c>
      <c r="G56" s="18" t="s">
        <v>3</v>
      </c>
      <c r="H56" s="20" t="s">
        <v>169</v>
      </c>
      <c r="I56" s="10">
        <v>40</v>
      </c>
      <c r="J56" s="10" t="s">
        <v>4</v>
      </c>
      <c r="K56" s="21">
        <f>54.92%*N56</f>
        <v>6.9648566424000009</v>
      </c>
      <c r="L56" s="21">
        <f>45.07%*N56</f>
        <v>5.7156971753999999</v>
      </c>
      <c r="M56" s="21">
        <f t="shared" si="1"/>
        <v>0</v>
      </c>
      <c r="N56" s="10">
        <v>12.681822</v>
      </c>
      <c r="O56" s="9" t="s">
        <v>5</v>
      </c>
      <c r="P56" s="9" t="s">
        <v>6</v>
      </c>
      <c r="Q56" s="9">
        <v>5922052829</v>
      </c>
      <c r="R56" s="9" t="s">
        <v>5</v>
      </c>
      <c r="S56" s="9" t="s">
        <v>6</v>
      </c>
      <c r="T56" s="9" t="s">
        <v>7</v>
      </c>
      <c r="U56" s="9" t="s">
        <v>8</v>
      </c>
      <c r="V56" s="9" t="s">
        <v>9</v>
      </c>
      <c r="W56" s="22">
        <v>45658</v>
      </c>
      <c r="X56" s="22">
        <v>47118</v>
      </c>
    </row>
    <row r="57" spans="1:24" ht="45" x14ac:dyDescent="0.25">
      <c r="A57" s="18">
        <v>54</v>
      </c>
      <c r="B57" s="19" t="s">
        <v>113</v>
      </c>
      <c r="C57" s="18" t="s">
        <v>3</v>
      </c>
      <c r="D57" s="18" t="s">
        <v>26</v>
      </c>
      <c r="E57" s="8" t="s">
        <v>114</v>
      </c>
      <c r="F57" s="18" t="s">
        <v>2</v>
      </c>
      <c r="G57" s="18" t="s">
        <v>3</v>
      </c>
      <c r="H57" s="20" t="s">
        <v>189</v>
      </c>
      <c r="I57" s="10">
        <v>4</v>
      </c>
      <c r="J57" s="10" t="s">
        <v>14</v>
      </c>
      <c r="K57" s="21">
        <f>100%*N57</f>
        <v>2E-3</v>
      </c>
      <c r="L57" s="21">
        <f>0%*N57</f>
        <v>0</v>
      </c>
      <c r="M57" s="21">
        <f t="shared" si="1"/>
        <v>0</v>
      </c>
      <c r="N57" s="10">
        <v>2E-3</v>
      </c>
      <c r="O57" s="9" t="s">
        <v>5</v>
      </c>
      <c r="P57" s="9" t="s">
        <v>6</v>
      </c>
      <c r="Q57" s="9">
        <v>5922052829</v>
      </c>
      <c r="R57" s="9" t="s">
        <v>5</v>
      </c>
      <c r="S57" s="9" t="s">
        <v>6</v>
      </c>
      <c r="T57" s="9" t="s">
        <v>7</v>
      </c>
      <c r="U57" s="9" t="s">
        <v>8</v>
      </c>
      <c r="V57" s="9" t="s">
        <v>9</v>
      </c>
      <c r="W57" s="22">
        <v>45658</v>
      </c>
      <c r="X57" s="22">
        <v>47118</v>
      </c>
    </row>
    <row r="58" spans="1:24" ht="45" x14ac:dyDescent="0.25">
      <c r="A58" s="18">
        <v>55</v>
      </c>
      <c r="B58" s="19" t="s">
        <v>76</v>
      </c>
      <c r="C58" s="18" t="s">
        <v>20</v>
      </c>
      <c r="D58" s="18" t="s">
        <v>77</v>
      </c>
      <c r="E58" s="8" t="s">
        <v>78</v>
      </c>
      <c r="F58" s="18" t="s">
        <v>2</v>
      </c>
      <c r="G58" s="18" t="s">
        <v>3</v>
      </c>
      <c r="H58" s="20" t="s">
        <v>176</v>
      </c>
      <c r="I58" s="10">
        <v>12.5</v>
      </c>
      <c r="J58" s="10" t="s">
        <v>4</v>
      </c>
      <c r="K58" s="21">
        <f>40%*N58</f>
        <v>9.9628000000000008E-3</v>
      </c>
      <c r="L58" s="21">
        <f>60%*N58</f>
        <v>1.4944199999999998E-2</v>
      </c>
      <c r="M58" s="21">
        <f t="shared" si="1"/>
        <v>0</v>
      </c>
      <c r="N58" s="10">
        <v>2.4906999999999999E-2</v>
      </c>
      <c r="O58" s="9" t="s">
        <v>5</v>
      </c>
      <c r="P58" s="9" t="s">
        <v>6</v>
      </c>
      <c r="Q58" s="9">
        <v>5922052829</v>
      </c>
      <c r="R58" s="9" t="s">
        <v>5</v>
      </c>
      <c r="S58" s="9" t="s">
        <v>6</v>
      </c>
      <c r="T58" s="9" t="s">
        <v>7</v>
      </c>
      <c r="U58" s="9" t="s">
        <v>8</v>
      </c>
      <c r="V58" s="9" t="s">
        <v>9</v>
      </c>
      <c r="W58" s="22">
        <v>45658</v>
      </c>
      <c r="X58" s="22">
        <v>47118</v>
      </c>
    </row>
    <row r="59" spans="1:24" ht="45" x14ac:dyDescent="0.25">
      <c r="A59" s="18">
        <v>56</v>
      </c>
      <c r="B59" s="19" t="s">
        <v>108</v>
      </c>
      <c r="C59" s="18" t="s">
        <v>45</v>
      </c>
      <c r="D59" s="18" t="s">
        <v>62</v>
      </c>
      <c r="E59" s="8" t="s">
        <v>109</v>
      </c>
      <c r="F59" s="18" t="s">
        <v>2</v>
      </c>
      <c r="G59" s="18" t="s">
        <v>3</v>
      </c>
      <c r="H59" s="20" t="s">
        <v>172</v>
      </c>
      <c r="I59" s="10">
        <v>1</v>
      </c>
      <c r="J59" s="10" t="s">
        <v>4</v>
      </c>
      <c r="K59" s="21">
        <f>40%*N59</f>
        <v>0.77480000000000004</v>
      </c>
      <c r="L59" s="21">
        <f>60%*N59</f>
        <v>1.1621999999999999</v>
      </c>
      <c r="M59" s="21">
        <f t="shared" si="1"/>
        <v>0</v>
      </c>
      <c r="N59" s="10">
        <v>1.9370000000000001</v>
      </c>
      <c r="O59" s="9" t="s">
        <v>5</v>
      </c>
      <c r="P59" s="9" t="s">
        <v>6</v>
      </c>
      <c r="Q59" s="9">
        <v>5922052829</v>
      </c>
      <c r="R59" s="9" t="s">
        <v>5</v>
      </c>
      <c r="S59" s="9" t="s">
        <v>6</v>
      </c>
      <c r="T59" s="9" t="s">
        <v>7</v>
      </c>
      <c r="U59" s="9" t="s">
        <v>8</v>
      </c>
      <c r="V59" s="9" t="s">
        <v>9</v>
      </c>
      <c r="W59" s="22">
        <v>45658</v>
      </c>
      <c r="X59" s="22">
        <v>47118</v>
      </c>
    </row>
    <row r="60" spans="1:24" ht="45" x14ac:dyDescent="0.25">
      <c r="A60" s="18">
        <v>57</v>
      </c>
      <c r="B60" s="19" t="s">
        <v>110</v>
      </c>
      <c r="C60" s="18" t="s">
        <v>111</v>
      </c>
      <c r="D60" s="18" t="s">
        <v>62</v>
      </c>
      <c r="E60" s="17" t="s">
        <v>115</v>
      </c>
      <c r="F60" s="18" t="s">
        <v>2</v>
      </c>
      <c r="G60" s="18" t="s">
        <v>3</v>
      </c>
      <c r="H60" s="20" t="s">
        <v>173</v>
      </c>
      <c r="I60" s="10">
        <v>1</v>
      </c>
      <c r="J60" s="8" t="s">
        <v>4</v>
      </c>
      <c r="K60" s="21">
        <f>30%*N60</f>
        <v>0.235398</v>
      </c>
      <c r="L60" s="21">
        <f>70%*N60</f>
        <v>0.54926200000000003</v>
      </c>
      <c r="M60" s="21">
        <f t="shared" si="1"/>
        <v>0</v>
      </c>
      <c r="N60" s="10">
        <v>0.78466000000000002</v>
      </c>
      <c r="O60" s="10" t="s">
        <v>5</v>
      </c>
      <c r="P60" s="9" t="s">
        <v>6</v>
      </c>
      <c r="Q60" s="26">
        <v>5922052829</v>
      </c>
      <c r="R60" s="10" t="s">
        <v>5</v>
      </c>
      <c r="S60" s="9" t="s">
        <v>6</v>
      </c>
      <c r="T60" s="9" t="s">
        <v>7</v>
      </c>
      <c r="U60" s="9" t="s">
        <v>8</v>
      </c>
      <c r="V60" s="9" t="s">
        <v>9</v>
      </c>
      <c r="W60" s="22">
        <v>45658</v>
      </c>
      <c r="X60" s="22">
        <v>47118</v>
      </c>
    </row>
    <row r="61" spans="1:24" ht="45" x14ac:dyDescent="0.25">
      <c r="A61" s="18">
        <v>58</v>
      </c>
      <c r="B61" s="19" t="s">
        <v>112</v>
      </c>
      <c r="C61" s="18" t="s">
        <v>23</v>
      </c>
      <c r="D61" s="18" t="s">
        <v>24</v>
      </c>
      <c r="E61" s="8">
        <v>16</v>
      </c>
      <c r="F61" s="18" t="s">
        <v>13</v>
      </c>
      <c r="G61" s="18" t="s">
        <v>11</v>
      </c>
      <c r="H61" s="20" t="s">
        <v>188</v>
      </c>
      <c r="I61" s="10">
        <v>5</v>
      </c>
      <c r="J61" s="10" t="s">
        <v>4</v>
      </c>
      <c r="K61" s="21">
        <f>30%*N61</f>
        <v>3.0036299999999998E-2</v>
      </c>
      <c r="L61" s="21">
        <f>70%*N61</f>
        <v>7.00847E-2</v>
      </c>
      <c r="M61" s="21">
        <f t="shared" si="1"/>
        <v>0</v>
      </c>
      <c r="N61" s="10">
        <v>0.100121</v>
      </c>
      <c r="O61" s="9" t="s">
        <v>5</v>
      </c>
      <c r="P61" s="9" t="s">
        <v>6</v>
      </c>
      <c r="Q61" s="9">
        <v>5922052829</v>
      </c>
      <c r="R61" s="9" t="s">
        <v>5</v>
      </c>
      <c r="S61" s="9" t="s">
        <v>6</v>
      </c>
      <c r="T61" s="9" t="s">
        <v>7</v>
      </c>
      <c r="U61" s="9" t="s">
        <v>8</v>
      </c>
      <c r="V61" s="9" t="s">
        <v>9</v>
      </c>
      <c r="W61" s="22">
        <v>45658</v>
      </c>
      <c r="X61" s="22">
        <v>47118</v>
      </c>
    </row>
    <row r="62" spans="1:24" ht="33.75" x14ac:dyDescent="0.25">
      <c r="A62" s="18">
        <v>59</v>
      </c>
      <c r="B62" s="19" t="s">
        <v>104</v>
      </c>
      <c r="C62" s="18" t="s">
        <v>3</v>
      </c>
      <c r="D62" s="18" t="s">
        <v>26</v>
      </c>
      <c r="E62" s="8">
        <v>3</v>
      </c>
      <c r="F62" s="18" t="s">
        <v>2</v>
      </c>
      <c r="G62" s="18" t="s">
        <v>3</v>
      </c>
      <c r="H62" s="20" t="s">
        <v>212</v>
      </c>
      <c r="I62" s="10">
        <v>40</v>
      </c>
      <c r="J62" s="10" t="s">
        <v>4</v>
      </c>
      <c r="K62" s="21">
        <f>39.02%*N62</f>
        <v>3.1270628</v>
      </c>
      <c r="L62" s="21">
        <f>60.97%*N62</f>
        <v>4.8861357999999999</v>
      </c>
      <c r="M62" s="21">
        <f t="shared" si="1"/>
        <v>0</v>
      </c>
      <c r="N62" s="10">
        <v>8.0139999999999993</v>
      </c>
      <c r="O62" s="9" t="s">
        <v>5</v>
      </c>
      <c r="P62" s="9" t="s">
        <v>6</v>
      </c>
      <c r="Q62" s="9">
        <v>5922052829</v>
      </c>
      <c r="R62" s="9" t="s">
        <v>93</v>
      </c>
      <c r="S62" s="9" t="s">
        <v>94</v>
      </c>
      <c r="T62" s="9" t="s">
        <v>7</v>
      </c>
      <c r="U62" s="9" t="s">
        <v>8</v>
      </c>
      <c r="V62" s="9" t="s">
        <v>9</v>
      </c>
      <c r="W62" s="22">
        <v>45658</v>
      </c>
      <c r="X62" s="22">
        <v>47118</v>
      </c>
    </row>
    <row r="63" spans="1:24" ht="45" x14ac:dyDescent="0.25">
      <c r="A63" s="11">
        <v>60</v>
      </c>
      <c r="B63" s="12" t="s">
        <v>217</v>
      </c>
      <c r="C63" s="11" t="s">
        <v>3</v>
      </c>
      <c r="D63" s="11" t="s">
        <v>72</v>
      </c>
      <c r="E63" s="13" t="s">
        <v>218</v>
      </c>
      <c r="F63" s="11" t="s">
        <v>2</v>
      </c>
      <c r="G63" s="11" t="s">
        <v>3</v>
      </c>
      <c r="H63" s="14" t="s">
        <v>213</v>
      </c>
      <c r="I63" s="10">
        <v>17</v>
      </c>
      <c r="J63" s="10" t="s">
        <v>4</v>
      </c>
      <c r="K63" s="21">
        <f>26%*N63</f>
        <v>5.0515400000000001</v>
      </c>
      <c r="L63" s="21">
        <f>74%*N63</f>
        <v>14.377459999999999</v>
      </c>
      <c r="M63" s="21">
        <v>0</v>
      </c>
      <c r="N63" s="10">
        <v>19.428999999999998</v>
      </c>
      <c r="O63" s="9" t="s">
        <v>5</v>
      </c>
      <c r="P63" s="9" t="s">
        <v>6</v>
      </c>
      <c r="Q63" s="9">
        <v>5922052829</v>
      </c>
      <c r="R63" s="9" t="s">
        <v>5</v>
      </c>
      <c r="S63" s="9" t="s">
        <v>6</v>
      </c>
      <c r="T63" s="9" t="s">
        <v>7</v>
      </c>
      <c r="U63" s="9" t="s">
        <v>8</v>
      </c>
      <c r="V63" s="9" t="s">
        <v>9</v>
      </c>
      <c r="W63" s="22">
        <v>45658</v>
      </c>
      <c r="X63" s="22">
        <v>47118</v>
      </c>
    </row>
    <row r="64" spans="1:24" ht="45" x14ac:dyDescent="0.25">
      <c r="A64" s="11">
        <v>61</v>
      </c>
      <c r="B64" s="12" t="s">
        <v>216</v>
      </c>
      <c r="C64" s="11" t="s">
        <v>11</v>
      </c>
      <c r="D64" s="19" t="s">
        <v>207</v>
      </c>
      <c r="E64" s="13" t="s">
        <v>215</v>
      </c>
      <c r="F64" s="11" t="s">
        <v>13</v>
      </c>
      <c r="G64" s="11" t="s">
        <v>11</v>
      </c>
      <c r="H64" s="14" t="s">
        <v>214</v>
      </c>
      <c r="I64" s="10">
        <v>10.5</v>
      </c>
      <c r="J64" s="10" t="s">
        <v>4</v>
      </c>
      <c r="K64" s="21">
        <f>29.66%*N64</f>
        <v>3.5888599999999995</v>
      </c>
      <c r="L64" s="21">
        <f>70.34%*N64</f>
        <v>8.5111399999999993</v>
      </c>
      <c r="M64" s="21">
        <v>0</v>
      </c>
      <c r="N64" s="10">
        <v>12.1</v>
      </c>
      <c r="O64" s="9" t="s">
        <v>5</v>
      </c>
      <c r="P64" s="9" t="s">
        <v>6</v>
      </c>
      <c r="Q64" s="9">
        <v>5922052829</v>
      </c>
      <c r="R64" s="9" t="s">
        <v>5</v>
      </c>
      <c r="S64" s="9" t="s">
        <v>6</v>
      </c>
      <c r="T64" s="9" t="s">
        <v>7</v>
      </c>
      <c r="U64" s="9" t="s">
        <v>8</v>
      </c>
      <c r="V64" s="9" t="s">
        <v>9</v>
      </c>
      <c r="W64" s="22">
        <v>45658</v>
      </c>
      <c r="X64" s="22">
        <v>47118</v>
      </c>
    </row>
    <row r="65" spans="1:24" ht="45" x14ac:dyDescent="0.25">
      <c r="A65" s="11">
        <v>62</v>
      </c>
      <c r="B65" s="12" t="s">
        <v>232</v>
      </c>
      <c r="C65" s="11" t="s">
        <v>3</v>
      </c>
      <c r="D65" s="8" t="s">
        <v>26</v>
      </c>
      <c r="E65" s="17">
        <v>2</v>
      </c>
      <c r="F65" s="11" t="s">
        <v>2</v>
      </c>
      <c r="G65" s="11" t="s">
        <v>3</v>
      </c>
      <c r="H65" s="14" t="s">
        <v>233</v>
      </c>
      <c r="I65" s="10">
        <v>12.5</v>
      </c>
      <c r="J65" s="10" t="s">
        <v>4</v>
      </c>
      <c r="K65" s="21" t="s">
        <v>231</v>
      </c>
      <c r="L65" s="21" t="s">
        <v>231</v>
      </c>
      <c r="M65" s="21">
        <v>0</v>
      </c>
      <c r="N65" s="10">
        <v>14.286</v>
      </c>
      <c r="O65" s="9" t="s">
        <v>5</v>
      </c>
      <c r="P65" s="9" t="s">
        <v>6</v>
      </c>
      <c r="Q65" s="9">
        <v>5922052830</v>
      </c>
      <c r="R65" s="9" t="s">
        <v>234</v>
      </c>
      <c r="S65" s="9" t="s">
        <v>6</v>
      </c>
      <c r="T65" s="9" t="s">
        <v>7</v>
      </c>
      <c r="U65" s="9" t="s">
        <v>8</v>
      </c>
      <c r="V65" s="9" t="s">
        <v>235</v>
      </c>
      <c r="W65" s="22">
        <v>45658</v>
      </c>
      <c r="X65" s="22">
        <v>47118</v>
      </c>
    </row>
    <row r="66" spans="1:24" ht="45" x14ac:dyDescent="0.25">
      <c r="A66" s="11">
        <v>63</v>
      </c>
      <c r="B66" s="12" t="s">
        <v>236</v>
      </c>
      <c r="C66" s="11" t="s">
        <v>3</v>
      </c>
      <c r="D66" s="8" t="s">
        <v>26</v>
      </c>
      <c r="E66" s="13" t="s">
        <v>237</v>
      </c>
      <c r="F66" s="11" t="s">
        <v>2</v>
      </c>
      <c r="G66" s="11" t="s">
        <v>3</v>
      </c>
      <c r="H66" s="27" t="s">
        <v>62</v>
      </c>
      <c r="I66" s="10">
        <v>59</v>
      </c>
      <c r="J66" s="10" t="s">
        <v>62</v>
      </c>
      <c r="K66" s="21" t="s">
        <v>231</v>
      </c>
      <c r="L66" s="21" t="s">
        <v>231</v>
      </c>
      <c r="M66" s="21" t="s">
        <v>231</v>
      </c>
      <c r="N66" s="10">
        <v>40</v>
      </c>
      <c r="O66" s="9" t="s">
        <v>5</v>
      </c>
      <c r="P66" s="9" t="s">
        <v>6</v>
      </c>
      <c r="Q66" s="9">
        <v>5922052830</v>
      </c>
      <c r="R66" s="9" t="s">
        <v>5</v>
      </c>
      <c r="S66" s="9" t="s">
        <v>6</v>
      </c>
      <c r="T66" s="9" t="s">
        <v>7</v>
      </c>
      <c r="U66" s="9" t="s">
        <v>8</v>
      </c>
      <c r="V66" s="9"/>
      <c r="W66" s="22">
        <v>45658</v>
      </c>
      <c r="X66" s="22">
        <v>47118</v>
      </c>
    </row>
    <row r="67" spans="1:24" x14ac:dyDescent="0.25">
      <c r="A67" s="11"/>
      <c r="B67" s="12"/>
      <c r="C67" s="11"/>
      <c r="D67" s="11"/>
      <c r="E67" s="13"/>
      <c r="F67" s="11"/>
      <c r="G67" s="11"/>
      <c r="H67" s="14"/>
      <c r="I67" s="15">
        <f>SUM(I4:I66)</f>
        <v>906</v>
      </c>
      <c r="J67" s="10"/>
      <c r="K67" s="10">
        <f>SUM(K4:K66)</f>
        <v>213.7370334237001</v>
      </c>
      <c r="L67" s="10">
        <f>SUM(L4:L66)</f>
        <v>315.92368863889993</v>
      </c>
      <c r="M67" s="10">
        <f>SUM(M4:M66)</f>
        <v>194.04584099999997</v>
      </c>
      <c r="N67" s="16">
        <f>SUM(N4:N66)</f>
        <v>778.01979800000004</v>
      </c>
      <c r="O67" s="9"/>
      <c r="P67" s="9"/>
      <c r="Q67" s="9"/>
      <c r="R67" s="9"/>
      <c r="S67" s="9"/>
      <c r="T67" s="9"/>
      <c r="U67" s="9"/>
      <c r="V67" s="9"/>
      <c r="W67" s="11"/>
      <c r="X67" s="11"/>
    </row>
  </sheetData>
  <mergeCells count="15">
    <mergeCell ref="A1:S1"/>
    <mergeCell ref="A2:A3"/>
    <mergeCell ref="J2:J3"/>
    <mergeCell ref="I2:I3"/>
    <mergeCell ref="H2:H3"/>
    <mergeCell ref="B2:B3"/>
    <mergeCell ref="K2:N2"/>
    <mergeCell ref="U2:U3"/>
    <mergeCell ref="V2:V3"/>
    <mergeCell ref="W2:W3"/>
    <mergeCell ref="C2:G2"/>
    <mergeCell ref="X2:X3"/>
    <mergeCell ref="O2:Q2"/>
    <mergeCell ref="R2:S2"/>
    <mergeCell ref="T2:T3"/>
  </mergeCells>
  <phoneticPr fontId="1" type="noConversion"/>
  <printOptions horizontalCentered="1"/>
  <pageMargins left="0" right="0" top="0.15748031496062992" bottom="0.15748031496062992" header="0.11811023622047245" footer="0.11811023622047245"/>
  <pageSetup paperSize="8" orientation="landscape" r:id="rId1"/>
  <headerFooter>
    <oddFooter>Strona &amp;P z &amp;N</oddFooter>
  </headerFooter>
  <rowBreaks count="1" manualBreakCount="1">
    <brk id="44" max="23" man="1"/>
  </rowBreaks>
  <colBreaks count="1" manualBreakCount="1">
    <brk id="19" max="1048575" man="1"/>
  </colBreaks>
  <ignoredErrors>
    <ignoredError sqref="H36:H46 Q13:Q15 Q22:Q26 Q30:Q31 Q28 Q42:Q46 Q49:Q50 Q4 Q7 Q10 H4 Q35 H51:H53 Q51:Q53 H5:H8 H10 H12:H16 H18 H20:H26 H28 H30:H31 H33:H35 H49:H50 H54:H62" numberStoredAsText="1"/>
    <ignoredError sqref="K16:L16 K19:L19 K40:L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Stoliński</dc:creator>
  <cp:lastModifiedBy>Adrian Sywula</cp:lastModifiedBy>
  <cp:lastPrinted>2024-07-30T06:47:50Z</cp:lastPrinted>
  <dcterms:created xsi:type="dcterms:W3CDTF">2021-09-24T07:32:43Z</dcterms:created>
  <dcterms:modified xsi:type="dcterms:W3CDTF">2024-08-01T09:00:36Z</dcterms:modified>
</cp:coreProperties>
</file>